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200" windowHeight="4590" activeTab="0"/>
  </bookViews>
  <sheets>
    <sheet name="доходы" sheetId="1" r:id="rId1"/>
    <sheet name="расходы" sheetId="2" r:id="rId2"/>
    <sheet name="источ.финансирования" sheetId="3" r:id="rId3"/>
  </sheets>
  <definedNames>
    <definedName name="_xlnm.Print_Titles" localSheetId="0">'доходы'!$19:$23</definedName>
    <definedName name="_xlnm.Print_Titles" localSheetId="1">'расходы'!$5:$10</definedName>
    <definedName name="_xlnm.Print_Area" localSheetId="0">'доходы'!$A$1:$I$91</definedName>
    <definedName name="_xlnm.Print_Area" localSheetId="2">'источ.финансирования'!$A$1:$J$50</definedName>
  </definedNames>
  <calcPr fullCalcOnLoad="1"/>
</workbook>
</file>

<file path=xl/sharedStrings.xml><?xml version="1.0" encoding="utf-8"?>
<sst xmlns="http://schemas.openxmlformats.org/spreadsheetml/2006/main" count="783" uniqueCount="507">
  <si>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</si>
  <si>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</si>
  <si>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</si>
  <si>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</si>
  <si>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</si>
  <si>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</si>
  <si>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</si>
  <si>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</si>
  <si>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</si>
  <si>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</si>
  <si>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</si>
  <si>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</si>
  <si>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</si>
  <si>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</si>
  <si>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</si>
  <si>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</si>
  <si>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</si>
  <si>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 xml:space="preserve">Код расхода </t>
  </si>
  <si>
    <t xml:space="preserve">Лимиты </t>
  </si>
  <si>
    <t>бюджетных</t>
  </si>
  <si>
    <t>обязательств</t>
  </si>
  <si>
    <t>9</t>
  </si>
  <si>
    <t xml:space="preserve">             Неисполненные </t>
  </si>
  <si>
    <t xml:space="preserve">                назначения</t>
  </si>
  <si>
    <t>по</t>
  </si>
  <si>
    <t>10</t>
  </si>
  <si>
    <t>Код источника</t>
  </si>
  <si>
    <t>финансирования</t>
  </si>
  <si>
    <t>Код</t>
  </si>
  <si>
    <t>стро-</t>
  </si>
  <si>
    <t>ки</t>
  </si>
  <si>
    <t>11</t>
  </si>
  <si>
    <t>Источники финансирования дефицита бюджетов - всего</t>
  </si>
  <si>
    <t>ассигно-</t>
  </si>
  <si>
    <t>ваниям</t>
  </si>
  <si>
    <t>Руководитель финансово-</t>
  </si>
  <si>
    <t>экономической службы        ____________________   ______________________</t>
  </si>
  <si>
    <t xml:space="preserve">через </t>
  </si>
  <si>
    <t xml:space="preserve">                        (подпись)                     (расшифровка подписи)</t>
  </si>
  <si>
    <t>500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</si>
  <si>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</si>
  <si>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</si>
  <si>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</si>
  <si>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</si>
  <si>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</si>
  <si>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</si>
  <si>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</si>
  <si>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Отметка ответственного исполнителя органа, осуществляющего кассовое обслуживание исполнения бюджета</t>
  </si>
  <si>
    <t>заработная плата</t>
  </si>
  <si>
    <t>прочие выплаты</t>
  </si>
  <si>
    <t>услуги связи</t>
  </si>
  <si>
    <t>прочие расходы</t>
  </si>
  <si>
    <t>Налоги на прибыль, доходы</t>
  </si>
  <si>
    <t>Налоги на имущество</t>
  </si>
  <si>
    <t>Налог на имущество физических лиц</t>
  </si>
  <si>
    <t>Земельный налог</t>
  </si>
  <si>
    <t>000 1 11 05010 00 0000 120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</si>
  <si>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</si>
  <si>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</si>
  <si>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Культура</t>
  </si>
  <si>
    <t>в том числе :</t>
  </si>
  <si>
    <t>Функц.местных администраций</t>
  </si>
  <si>
    <t>расходы</t>
  </si>
  <si>
    <t>оплата труда и начисл.на о/т</t>
  </si>
  <si>
    <t>начисл на оплату труда</t>
  </si>
  <si>
    <t>транспортные услуги</t>
  </si>
  <si>
    <t>коммунальные услуги</t>
  </si>
  <si>
    <t>услуги по содержанию имущества</t>
  </si>
  <si>
    <t>поступление нефинансовых активов</t>
  </si>
  <si>
    <t>увел.стоимости основных средств</t>
  </si>
  <si>
    <t>Общегосударственные вопросы</t>
  </si>
  <si>
    <t>прочие услуги</t>
  </si>
  <si>
    <t>Жилищно-коммунальное хозяйство</t>
  </si>
  <si>
    <t>изменение остатков в расчетах</t>
  </si>
  <si>
    <t>800</t>
  </si>
  <si>
    <t>изменение остатков в расчетах с органами,организующими исполнение бюджетов</t>
  </si>
  <si>
    <t>810</t>
  </si>
  <si>
    <t>увеличение счетов расчетов(дебетовый остаток счета 21002000)</t>
  </si>
  <si>
    <t>811</t>
  </si>
  <si>
    <t>уменьшение счетов расчетов(кредитовый остаток счета 30405000)</t>
  </si>
  <si>
    <t>812</t>
  </si>
  <si>
    <t>820</t>
  </si>
  <si>
    <t>821</t>
  </si>
  <si>
    <t>уменьшение остатков во внутренних расчетах(дебет счета 30404000)</t>
  </si>
  <si>
    <t>822</t>
  </si>
  <si>
    <t xml:space="preserve"> Руководитель      __________________           </t>
  </si>
  <si>
    <r>
      <t xml:space="preserve">Главный бухгалтер ________________       </t>
    </r>
    <r>
      <rPr>
        <b/>
        <u val="single"/>
        <sz val="8"/>
        <rFont val="Arial Cyr"/>
        <family val="0"/>
      </rPr>
      <t xml:space="preserve"> </t>
    </r>
  </si>
  <si>
    <t>04125320</t>
  </si>
  <si>
    <t>Невыясненные поступления</t>
  </si>
  <si>
    <t>710</t>
  </si>
  <si>
    <t>720</t>
  </si>
  <si>
    <t xml:space="preserve">Поступления от продажи земельных участков </t>
  </si>
  <si>
    <t>450</t>
  </si>
  <si>
    <t>Налог на доходы физических лиц</t>
  </si>
  <si>
    <t>Налоги на совокупный доход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</si>
  <si>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</si>
  <si>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</si>
  <si>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</si>
  <si>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 (за исключением земельных участков, предназначенных для целей жилищного строительства)</t>
  </si>
  <si>
    <t>000 1 11 05011 00 0000 120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</si>
  <si>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</si>
  <si>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000 1 11 05011 10 0000 120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</si>
  <si>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предназначенных для целей жилищного строительства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</si>
  <si>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поселений и предназначенных для целей жилищного строительства</t>
  </si>
  <si>
    <t>Штрафы, санкции, возмещение ущерба</t>
  </si>
  <si>
    <t>Прочие неналоговые доходы</t>
  </si>
  <si>
    <t>Возмещение потерь сельскохозяйственного производства, связанных с изъятием сельскохозяйственных угодий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</si>
  <si>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</t>
  </si>
  <si>
    <t>М.П.</t>
  </si>
  <si>
    <t>Мобилизационная и вневойсковая подготовка</t>
  </si>
  <si>
    <t xml:space="preserve">расходы </t>
  </si>
  <si>
    <t>Образование</t>
  </si>
  <si>
    <t>начисления на з/пл</t>
  </si>
  <si>
    <t>Молодежная политика и оздоровление детей</t>
  </si>
  <si>
    <t>Периодическая печать</t>
  </si>
  <si>
    <t>Уличное освещение</t>
  </si>
  <si>
    <t>Озеленение</t>
  </si>
  <si>
    <t>Содерж. мест захорон-я</t>
  </si>
  <si>
    <t>Субвенции бюджетам субъектов Российской Федерации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</si>
  <si>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</t>
  </si>
  <si>
    <t xml:space="preserve"> </t>
  </si>
  <si>
    <t>в том числе</t>
  </si>
  <si>
    <t>Уплата налога  на имущ-во</t>
  </si>
  <si>
    <t>Национальная экономика</t>
  </si>
  <si>
    <t>Средства массовой информации</t>
  </si>
  <si>
    <t>Дорожное хозяйство</t>
  </si>
  <si>
    <t>Административная комиссия</t>
  </si>
  <si>
    <t>Обеспечение деят.финансовых органов и органов надзора</t>
  </si>
  <si>
    <t>Благоустройство</t>
  </si>
  <si>
    <t>Комунальное хозяйство</t>
  </si>
  <si>
    <t>Форма 0503127 с.2</t>
  </si>
  <si>
    <t>Функционирование высшего должностного лица органа местного самоуправления</t>
  </si>
  <si>
    <t>Результат исполнения бюджета (дефицит "-"/профицит "+")</t>
  </si>
  <si>
    <t>х</t>
  </si>
  <si>
    <t>383</t>
  </si>
  <si>
    <t>Администрация Царицынского сельского поселения</t>
  </si>
  <si>
    <t>Галацан И.И.</t>
  </si>
  <si>
    <t>Василенко П.В.</t>
  </si>
  <si>
    <t>200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</si>
  <si>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</si>
  <si>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</si>
  <si>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</si>
  <si>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959 01 00 00 00 00 0000 000</t>
  </si>
  <si>
    <t>959 01 05 00 00 00 0000 000</t>
  </si>
  <si>
    <t>959 01 05 00 00 00 0000 500</t>
  </si>
  <si>
    <t>959 01 05 02 00 00 0000 500</t>
  </si>
  <si>
    <t>959 01 05 02 01 00 0000 510</t>
  </si>
  <si>
    <t>959 01 05 02 01 10 0000 510</t>
  </si>
  <si>
    <t>959 01 05 00 00 00 0000 600</t>
  </si>
  <si>
    <t>959 01 05 02 00 00 0000 600</t>
  </si>
  <si>
    <t>959 01 05 02 01 00 0000 610</t>
  </si>
  <si>
    <t>959 01 05 02 01 10 0000 610</t>
  </si>
  <si>
    <t xml:space="preserve">  в том числе:</t>
  </si>
  <si>
    <t>Налоговые и неналоговые доходы</t>
  </si>
  <si>
    <t>ДОХОДЫ БЮДЖЕТА.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</si>
  <si>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</si>
  <si>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</si>
  <si>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959 1 01 02010 01 0000 110</t>
  </si>
  <si>
    <t>Налог на имущество физических лиц, взимаемый по ставкам, применяемым к объекту налогообложения, расположенным в границах сельских поселений</t>
  </si>
  <si>
    <t>959 1 06 00000 00 0000 000</t>
  </si>
  <si>
    <t>959 1 06 01000 00 0000 110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</si>
  <si>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</si>
  <si>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оказания платных услуг (работ) и компенсации затрат государства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</si>
  <si>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 оказание услуг для нужд сельских поселений</t>
  </si>
  <si>
    <t>Дотации бюджетам сельских поселений на выравнивание  бюджетной обеспеченности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</si>
  <si>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</si>
  <si>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</si>
  <si>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</si>
  <si>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</si>
  <si>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</si>
  <si>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Межбюджетные трансферты, передаваемые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</si>
  <si>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        ОТЧЕТ  ОБ  ИСПОЛНЕНИИ БЮДЖЕТА       </t>
  </si>
  <si>
    <t>ГЛАВНОГО РАСПОРЯДИТЕЛЯ, РАСПОРЯДИТЕЛЯ, ПОЛУЧАТЕЛЯ СРЕДСТВ БЮДЖЕТА</t>
  </si>
  <si>
    <t>ГЛАВНОГО АДМИНИСТРАТОРА, АДМИНИСТРАТОРА ИСТОЧНИКОВ ФИНАНСИРОВАНИЯ ДЕФИЦИТОВ БЮДЖЕТА</t>
  </si>
  <si>
    <t>ГЛАВНОГО АДМИНИСТРАТОРА, АДМИНИСТРАТОРА ДОХОДОВ БЮДЖЕТА</t>
  </si>
  <si>
    <t>Форма по ОКУД</t>
  </si>
  <si>
    <t>0503127</t>
  </si>
  <si>
    <t>Дата</t>
  </si>
  <si>
    <t>ИНН</t>
  </si>
  <si>
    <t>3403020654</t>
  </si>
  <si>
    <t>по ОКПО</t>
  </si>
  <si>
    <t>Глава по БК</t>
  </si>
  <si>
    <t>959</t>
  </si>
  <si>
    <t>Наименование бюджета</t>
  </si>
  <si>
    <t>Бюджет Царицынского сельского поселения</t>
  </si>
  <si>
    <t>по ОКТМО</t>
  </si>
  <si>
    <t>18605445</t>
  </si>
  <si>
    <t>по ОКЕИ</t>
  </si>
  <si>
    <t xml:space="preserve"> 1. Доходы бюджета</t>
  </si>
  <si>
    <t>010</t>
  </si>
  <si>
    <t>некас-</t>
  </si>
  <si>
    <t>совые</t>
  </si>
  <si>
    <t>строки</t>
  </si>
  <si>
    <t>Главный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</si>
  <si>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</si>
  <si>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</si>
  <si>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</si>
  <si>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959 1 00 00000 00 0000 000</t>
  </si>
  <si>
    <t>959 1 01 00000 00 0000 000</t>
  </si>
  <si>
    <t>959 1 01 02000 01 0000 110</t>
  </si>
  <si>
    <t>959 1 05 00000 00 0000 000</t>
  </si>
  <si>
    <t>959 1 05 03000 01 0000 110</t>
  </si>
  <si>
    <t>959 1 06 06000 00 0000 110</t>
  </si>
  <si>
    <t>959 1 06 06030 00 0000 110</t>
  </si>
  <si>
    <t>959 1 06 06040 00 0000 110</t>
  </si>
  <si>
    <t>959 1 06 06043 10 1000 110</t>
  </si>
  <si>
    <t>959 1 11 00000 00 0000 000</t>
  </si>
  <si>
    <t>959 1 11 05000 00 0000 120</t>
  </si>
  <si>
    <t>959 1 11 05013 10 0000 120</t>
  </si>
  <si>
    <t>959 1 11 05025 10 0000 120</t>
  </si>
  <si>
    <t>959 1 11 05035 10 0000 120</t>
  </si>
  <si>
    <t>959 1 13 01000 00 0000 130</t>
  </si>
  <si>
    <t>959 1 14 06013 10 0000 430</t>
  </si>
  <si>
    <t>959 1 16 00000 00 0000 000</t>
  </si>
  <si>
    <t>959 1 17 00000 00 0000 000</t>
  </si>
  <si>
    <t>959 1 17 01000 00 0000 180</t>
  </si>
  <si>
    <t>959 1 17 01050 10 0000 180</t>
  </si>
  <si>
    <t>959 2 00 00000 00 0000 000</t>
  </si>
  <si>
    <t>959 2 02 00000 00 0000 000</t>
  </si>
  <si>
    <t>959 8 50 00000 00 0000 000</t>
  </si>
  <si>
    <t>РАСХОДЫ БЮДЖЕТА. ВСЕГО</t>
  </si>
  <si>
    <t>Обеспечение пожарной безопасности</t>
  </si>
  <si>
    <t>начисл. на зарплату</t>
  </si>
  <si>
    <t>Национальная безопасность и правоохранительная деятельность</t>
  </si>
  <si>
    <t>Другие вопросы в области национальной экономики (Мероприятия в области строительства, архитектуры и градостроительства)</t>
  </si>
  <si>
    <t>Прочие меропр-я по благоуст-ву</t>
  </si>
  <si>
    <t>Культура, кинематография</t>
  </si>
  <si>
    <t>Дворцы и дома культуры, другие учреждения культуры</t>
  </si>
  <si>
    <t>увел.ст-сти материальных запасов</t>
  </si>
  <si>
    <t>Центральный аппарат</t>
  </si>
  <si>
    <t xml:space="preserve">         2. Расходы бюджета</t>
  </si>
  <si>
    <t>Перечисления другим бюджетам в связи с передачей полномочий по финансовому контролю</t>
  </si>
  <si>
    <t>оплата работ, услуг</t>
  </si>
  <si>
    <t>прочие услуги от СМИ (с использ. гос.поддержки)</t>
  </si>
  <si>
    <t>Уплата налогов, сборов и иных платежей</t>
  </si>
  <si>
    <t>прочие работы, услуги</t>
  </si>
  <si>
    <t>Уплата налога на имущество орг-ций</t>
  </si>
  <si>
    <t>уплата прочих налогов, сборов</t>
  </si>
  <si>
    <t>уплата налога на имущество орг-ций</t>
  </si>
  <si>
    <t>уплата иных платежей</t>
  </si>
  <si>
    <t>иные выплаты персоналу</t>
  </si>
  <si>
    <t>прочие выплаты персоналу</t>
  </si>
  <si>
    <t>работы, услуги по содерж-ю имущ-ва</t>
  </si>
  <si>
    <t>увелич-е ст-сти матер-ных запасов</t>
  </si>
  <si>
    <t>увелич-е стоимости осн-х средств</t>
  </si>
  <si>
    <t>начисл-я на оплату труда</t>
  </si>
  <si>
    <t>увелич-е ст-сти матер-ных запасов - Обеспечение деят-ти адм. Комиссии (по субвенции)</t>
  </si>
  <si>
    <t xml:space="preserve">прочие работы, услуги </t>
  </si>
  <si>
    <t>арендная плата за польз-е имущ-вом</t>
  </si>
  <si>
    <t>безвозмездные перечисл-я бюджетам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</si>
  <si>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0"/>
      </rPr>
      <t xml:space="preserve"> Налогового кодекса Российской Федерации</t>
    </r>
  </si>
  <si>
    <t>959 1 01 02010 01 2100 110</t>
  </si>
  <si>
    <t>959 1 01 02010 01 1000 110</t>
  </si>
  <si>
    <t>959 1 06 01030 10 2100 110</t>
  </si>
  <si>
    <t>Пени по налогу на имущество физических лиц, взимаемому по ставкам, применяемым к объектам налогообложения, расположенным в границах сельских поселений</t>
  </si>
  <si>
    <t>Пени по Земельному налогу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</si>
  <si>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</si>
  <si>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000 1 06 06043 10 2100 110</t>
  </si>
  <si>
    <t>Земельный налог с организаций</t>
  </si>
  <si>
    <t>Земельный налог с физических лиц</t>
  </si>
  <si>
    <t>Пени по земельному налогу с физических лиц, обладающих земельным участком, расположенным в границах сельских поселений</t>
  </si>
  <si>
    <t>959 1 08 04020 01 0000 110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</si>
  <si>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 в границах сельских поселений, а также средства от продажи права на заключение договоров аренды указанных земельных участков</t>
  </si>
  <si>
    <t>Доходы,получаемые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</si>
  <si>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</t>
  </si>
  <si>
    <t xml:space="preserve">Доходы от оказания платных услуг (работ) </t>
  </si>
  <si>
    <t>959 1 13 00000 00 0000 130</t>
  </si>
  <si>
    <t>Прочие доходы от компенсации затрат государства</t>
  </si>
  <si>
    <t>959 1 13 02000 00 0000 130</t>
  </si>
  <si>
    <t>Доходы от продажи материальных и нематериальных активов</t>
  </si>
  <si>
    <t>Доходы от реализации имущества, находящегося в собственности сельских поселений, в части реализации основных средств по указанному имуществу</t>
  </si>
  <si>
    <t>959 1 14 02050 10 0000 410</t>
  </si>
  <si>
    <t>959 1 14 00000 00 0000 000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</si>
  <si>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</si>
  <si>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Доходы от продажи земельных участков, находящихся в собственности сельских поселений </t>
  </si>
  <si>
    <t>959 1 14 06025 10 0000 430</t>
  </si>
  <si>
    <t>Денежные взыскания (штрафы), установленные законами субъектов Российской Федерации за несоблюдение муници- пальных правовых актов, зачисляемые в бюджеты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</si>
  <si>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</si>
  <si>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</si>
  <si>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959 1 17 05050 10 0000 180</t>
  </si>
  <si>
    <t>959 2 02 29999 10 0000 151</t>
  </si>
  <si>
    <t>959 2 02 29999 00 0000 151</t>
  </si>
  <si>
    <t>959 2 02 30000 00 0000 151</t>
  </si>
  <si>
    <t>959 2 02 30024 10 0000 151</t>
  </si>
  <si>
    <t>959 2 02 40000 00 0000 151</t>
  </si>
  <si>
    <t>959 2 02 35118 10 0000 151</t>
  </si>
  <si>
    <t>Иные межбюджетные трансферты</t>
  </si>
  <si>
    <t xml:space="preserve">                    3. Источники финансирования дефицита бюджетов</t>
  </si>
  <si>
    <t>-</t>
  </si>
  <si>
    <t>Изменение остатков средств</t>
  </si>
  <si>
    <t>Увеличение остатков средств</t>
  </si>
  <si>
    <t>Х</t>
  </si>
  <si>
    <t>из них:</t>
  </si>
  <si>
    <t>ИСТОЧНИКИ ВНУТРЕННЕГО ФИНАНСИРОВАНИЯ ДЕФИЦИТОВ БЮДЖЕТОВ</t>
  </si>
  <si>
    <t xml:space="preserve"> - 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</si>
  <si>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</si>
  <si>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</si>
  <si>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</si>
  <si>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</si>
  <si>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</si>
  <si>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</t>
  </si>
  <si>
    <t>Уменьшение прочих остатков денежных средств бюджетов поселений</t>
  </si>
  <si>
    <t>изменение остатков по внутренним расчетам</t>
  </si>
  <si>
    <t>увеличение остатков по внутренним расчетам (кредит счета 30404000)</t>
  </si>
  <si>
    <t xml:space="preserve">                                         (подпись)                  </t>
  </si>
  <si>
    <t>(расшифровка подписи)</t>
  </si>
  <si>
    <t xml:space="preserve">                                       (подпись)      </t>
  </si>
  <si>
    <t>__ ________ 20__ г.</t>
  </si>
  <si>
    <t>0700 00 0 00 00000 000 000</t>
  </si>
  <si>
    <t>0700 00 0 00 00000 000 200</t>
  </si>
  <si>
    <t>0700 00 0 00 00000 000 300</t>
  </si>
  <si>
    <t>959 0100 00 0 00 00000 000 000</t>
  </si>
  <si>
    <t>959 0100 00 0 00 00000 000 200</t>
  </si>
  <si>
    <t>959 0100 00 0 00 00000 000 210</t>
  </si>
  <si>
    <t>959 0103 01 0 00 00060 121 211</t>
  </si>
  <si>
    <t>959 0103 01 0 00 00060 129 213</t>
  </si>
  <si>
    <t>959 0100 00 0 00 00000 000 220</t>
  </si>
  <si>
    <t>959 0104 01 0 00 20270 244 221</t>
  </si>
  <si>
    <t>959 0104 01 0 00 20270 244 222</t>
  </si>
  <si>
    <t>959 0104 01 0 00 20270 244 223</t>
  </si>
  <si>
    <t>959 0104 01 0 00 20270 244 224</t>
  </si>
  <si>
    <t>959 0104 01 0 00 20270 244 225</t>
  </si>
  <si>
    <t>959 0104 01 0 00 20270 244 226</t>
  </si>
  <si>
    <t>959 0100 00 0 00 00000 000 250</t>
  </si>
  <si>
    <t>959 0100 00 0 00 00000 000 290</t>
  </si>
  <si>
    <t>959 0100 00 0 00 00000 000 300</t>
  </si>
  <si>
    <t>959 0102 00 0 00 00000 000 000</t>
  </si>
  <si>
    <t>959 0102 01 0 00 00030 121 211</t>
  </si>
  <si>
    <t>959 0102 01 0 00 00030 129 213</t>
  </si>
  <si>
    <t>959 0104 00 0 00 00000 000 000</t>
  </si>
  <si>
    <t>959 0104  01 0 00 20270 000 000</t>
  </si>
  <si>
    <t>959 0104  01 0 00 20270 121 211</t>
  </si>
  <si>
    <t>959 0104 01 0 00 20270 121 212</t>
  </si>
  <si>
    <t>959 0104 01 0 00 20270 129 213</t>
  </si>
  <si>
    <t>959 0104 01 0 00 20270 244 310</t>
  </si>
  <si>
    <t>959 0104 01 0 00 20270 244 340</t>
  </si>
  <si>
    <t xml:space="preserve">    959 0104  01 0 00 80140 850 000</t>
  </si>
  <si>
    <t>959 0104 01 0 00 80140 851 290</t>
  </si>
  <si>
    <t>959 0104  99 0 00 70010 244 000</t>
  </si>
  <si>
    <t>959 0104 99 0 00 70010 244 340</t>
  </si>
  <si>
    <t>959 0106 00 0 00 00000 000 000</t>
  </si>
  <si>
    <t>959 0106 99 0 00 62200 540 251</t>
  </si>
  <si>
    <t>959 0203 99 0 00 51180 121 211</t>
  </si>
  <si>
    <t>959 0203 99 0 00 51180 129 213</t>
  </si>
  <si>
    <t>959 0203 0000000 000 000</t>
  </si>
  <si>
    <t>959 0300 00 0 00 00000 000 000</t>
  </si>
  <si>
    <t>959 0300 00 0 00 00000 000 200</t>
  </si>
  <si>
    <t>959 0300 00 0 00 00000 000 220</t>
  </si>
  <si>
    <t>959 0300 00 0 00 00000 000 290</t>
  </si>
  <si>
    <t>959 0300 00 0 00 00000 000 300</t>
  </si>
  <si>
    <t>959 0310 01 0 00 00590 244 222</t>
  </si>
  <si>
    <t>959 0310 01 0 00 00590 244 226</t>
  </si>
  <si>
    <t>959 0310 01 0 00 00590 244 290</t>
  </si>
  <si>
    <t>959 0310 01 0 00 00590 244 310</t>
  </si>
  <si>
    <t>959 0310 01 0 00 00590 244 340</t>
  </si>
  <si>
    <t>959 0310 0000000 000 000</t>
  </si>
  <si>
    <t>959 0400 00 0 00 00000 000 000</t>
  </si>
  <si>
    <t>959 0400 00 0 00 00000 000 200</t>
  </si>
  <si>
    <t>959 0400 00 0 00 00000 000 220</t>
  </si>
  <si>
    <t>959 0400 00 0 00 00000 000 290</t>
  </si>
  <si>
    <t>959 0409 0000000 000 000</t>
  </si>
  <si>
    <t>959 0412 00 0 00 00000 000 000</t>
  </si>
  <si>
    <t>959 0500 00 0 00 00000 000 000</t>
  </si>
  <si>
    <t>959 0500 00 0 00 00000 000 200</t>
  </si>
  <si>
    <t>959 0500 00 0 00 00000 000 220</t>
  </si>
  <si>
    <t>959 0503 00 0 00 00500 500 223</t>
  </si>
  <si>
    <t>959 0500 00 0 00 00000 000 225</t>
  </si>
  <si>
    <t>959 0500 00 0 00 00000 000 226</t>
  </si>
  <si>
    <t>959 0500 00 0 00 00000 000 290</t>
  </si>
  <si>
    <t>959 0500 00 0 00 00000 000 300</t>
  </si>
  <si>
    <t>959 0500 00 0 00 00000 000 310</t>
  </si>
  <si>
    <t>959 0500 00 0 00 00000 000 340</t>
  </si>
  <si>
    <t>959 0502 00 0 00 00000 000 000</t>
  </si>
  <si>
    <t>959 0503 00 0 00 00000 000 000</t>
  </si>
  <si>
    <t xml:space="preserve">    959 0707 02 0 00 20040</t>
  </si>
  <si>
    <t>959 0707 02 0 00 20040 111 211</t>
  </si>
  <si>
    <t>959 0707 02 0 00 20040 119 213</t>
  </si>
  <si>
    <t>959 0707 02 0 00 20040 244 221</t>
  </si>
  <si>
    <t>959 0707 02 0 00 20040 244 222</t>
  </si>
  <si>
    <t>959 0707 02 0 00 20040 244 223</t>
  </si>
  <si>
    <t>959 0707 02 0 00 20040 244 225</t>
  </si>
  <si>
    <t>959 0707 00 0 00 20040 244 226</t>
  </si>
  <si>
    <t>959 0707 02 0 00 20040 244 310</t>
  </si>
  <si>
    <t>959 0707 02 0 00 20040 244 340</t>
  </si>
  <si>
    <t xml:space="preserve">    959 0707  99 0 00 62200</t>
  </si>
  <si>
    <t>959 0707 99 0 00 62200 851 290</t>
  </si>
  <si>
    <t>959 0800 00 0 00 00000 000 200</t>
  </si>
  <si>
    <t>959 0800 00 0 00 00000 000 000</t>
  </si>
  <si>
    <t>959 0800 00 0 00 00000 000 210</t>
  </si>
  <si>
    <t>959 0800 00 0 00 00000 000 211</t>
  </si>
  <si>
    <t>959 0800 00 0 00 00000 000 212</t>
  </si>
  <si>
    <t>959 0800 00 0 00 00000 000 213</t>
  </si>
  <si>
    <t>959 0800 00 0 00 00000 000 220</t>
  </si>
  <si>
    <t>959 0800 00 0 00 00000 000 221</t>
  </si>
  <si>
    <t>959 0800 00 0 00 00000 000 222</t>
  </si>
  <si>
    <t>959 0800 00 0 00 00000 000 223</t>
  </si>
  <si>
    <t>959 0800 00 0 00 00000 000 225</t>
  </si>
  <si>
    <t>959 0800 00 0 00 00000 000 226</t>
  </si>
  <si>
    <t>959 0800 00 0 00 00000 000 290</t>
  </si>
  <si>
    <t>959 0800 00 0 00 00000 000 300</t>
  </si>
  <si>
    <t>959 0800 00 0 00 00000 000 310</t>
  </si>
  <si>
    <t>959 0800 00 0 00 00000 000 340</t>
  </si>
  <si>
    <t>959 0801 00 0 00 00000 000 000</t>
  </si>
  <si>
    <t xml:space="preserve">    959 0801  02 0 00 60140</t>
  </si>
  <si>
    <t>959 0801 02 0 00 60140 111 211</t>
  </si>
  <si>
    <t>959 0801 02 0 00 60140 112 212</t>
  </si>
  <si>
    <t>959 0801 02 0 00 60140 119 213</t>
  </si>
  <si>
    <t>959 0801 02 0 00 60140 244 221</t>
  </si>
  <si>
    <t>959 0801 02 0 00 60140 244 222</t>
  </si>
  <si>
    <t>959 0801 02 0 00 60140 244 223</t>
  </si>
  <si>
    <t>959 0801 02 0 00 60140 244 225</t>
  </si>
  <si>
    <t>959 0801 02 0 00 60140 244 226</t>
  </si>
  <si>
    <t>959 0801 02 0 00 60140 244 310</t>
  </si>
  <si>
    <t>959 0801 02 0 00 60140 244 340</t>
  </si>
  <si>
    <t xml:space="preserve">    959 0801 02 0 00 80140 850 000</t>
  </si>
  <si>
    <t>959 0801 02 0 00 80140 851 290</t>
  </si>
  <si>
    <t>959 0801 02 0 00 60140 852 290</t>
  </si>
  <si>
    <t>959 1200 00 0 00 00000 000 000</t>
  </si>
  <si>
    <t>959 1202 00 0 00 00000 000 200</t>
  </si>
  <si>
    <t>959 1202 00 0 00 00000 000 220</t>
  </si>
  <si>
    <t>959 1202 00 0 00 00000 000 000</t>
  </si>
  <si>
    <t>959 1202 01 0 00 60590 244 226</t>
  </si>
  <si>
    <t>959 1 01 02040 01 1000 110</t>
  </si>
  <si>
    <t>999 1 17 02000 10 0000 180</t>
  </si>
  <si>
    <t>999 1 17 02000 00 0000 180</t>
  </si>
  <si>
    <t xml:space="preserve"> ________________    __________________    __________________                 "_____"__________________ 200__г.</t>
  </si>
  <si>
    <t xml:space="preserve">(должность)                  (подпись)             (расшифровка  подписи)           </t>
  </si>
  <si>
    <t>959 2 02 15001 10 0000 151</t>
  </si>
  <si>
    <t>959 2 02 15000 00 0000 151</t>
  </si>
  <si>
    <t>959 2 02 40014 10 0000 151</t>
  </si>
  <si>
    <t>959 2 02 49999 10 0000 151</t>
  </si>
  <si>
    <t>827 1 16 33050 10 0000 140</t>
  </si>
  <si>
    <t>959 1 06 01030 10 1000 110</t>
  </si>
  <si>
    <t>959 1 01 02020 01 1000 110</t>
  </si>
  <si>
    <t>959 0104 01 0 00 20270 852 290</t>
  </si>
  <si>
    <t>959 0104 01 0 00 20270 853 290</t>
  </si>
  <si>
    <t xml:space="preserve">НДФЛ с доходов, полученных гражданами, 
зарегистрированными в качестве:
– индивидуальных предпринимателей
– частных нотариусов
– других лиц, занимающихся частной практикой
в соответствии со статьей 227 НК РФ
</t>
  </si>
  <si>
    <t>приобретение подарков, сувениров и т.п. расходов для ветеранов ВОВ на день победы - 9 мая 2017г.</t>
  </si>
  <si>
    <t>959 0801 02 0 00 60140 244 290</t>
  </si>
  <si>
    <t>959 0203 99 0 00 51180 244 340</t>
  </si>
  <si>
    <t>959 1 06 06033 10 1000 110</t>
  </si>
  <si>
    <t>Прочие субсидии сельским поселениям (на сбалансированность местных бюджетов)</t>
  </si>
  <si>
    <t>959 1 01 02030 01 2100 110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</si>
  <si>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</si>
  <si>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802 1 16 51040 02 0000 140</t>
  </si>
  <si>
    <t>182 1 01 02010 01 3000 110</t>
  </si>
  <si>
    <t>Суммы денежных взысканий (штрафов)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НК РФ</t>
  </si>
  <si>
    <r>
      <t>Единица измерения:</t>
    </r>
    <r>
      <rPr>
        <b/>
        <sz val="10"/>
        <color indexed="12"/>
        <rFont val="Arial"/>
        <family val="2"/>
      </rPr>
      <t xml:space="preserve"> руб.</t>
    </r>
  </si>
  <si>
    <r>
      <t>Периодичность:</t>
    </r>
    <r>
      <rPr>
        <b/>
        <sz val="10"/>
        <color indexed="12"/>
        <rFont val="Arial"/>
        <family val="2"/>
      </rPr>
      <t xml:space="preserve"> месячная</t>
    </r>
  </si>
  <si>
    <t>959 0801 02 0 00 60140 853 290</t>
  </si>
  <si>
    <t>959 1 01 02030 01 3000 110</t>
  </si>
  <si>
    <t xml:space="preserve">Суммы денежных взысканий (штрафов) по налогу на доходы физических лиц с доходов,  полученных физическими лицами в соответствии со статьей 228 Налогового Кодекса Российской Федерации </t>
  </si>
  <si>
    <t>по бюджетной</t>
  </si>
  <si>
    <t>классификации</t>
  </si>
  <si>
    <t xml:space="preserve">Код дохода </t>
  </si>
  <si>
    <t>Утвержденные</t>
  </si>
  <si>
    <t>бюджетные</t>
  </si>
  <si>
    <t>финансовые</t>
  </si>
  <si>
    <t>органы</t>
  </si>
  <si>
    <t>по лимитам</t>
  </si>
  <si>
    <t>959 0107 00 0 00 00000 000 000</t>
  </si>
  <si>
    <t>959 0107 01 0 00 40380 244 340</t>
  </si>
  <si>
    <t>959 0111 00 0 00 00000 000 000</t>
  </si>
  <si>
    <t>959 0111 99 0 00 80670 870 290</t>
  </si>
  <si>
    <t>959 0502 99 0 00 02000 244 225</t>
  </si>
  <si>
    <t>959 0502 99 0 00 02000 244 310</t>
  </si>
  <si>
    <t>959 0409 03 0 00 20680 244 225</t>
  </si>
  <si>
    <t>959 0412 04 0 00 60180 244 226</t>
  </si>
  <si>
    <t>959 0412 04 0 00 60180 244 290</t>
  </si>
  <si>
    <t>959 0503 04 0 00 01000 244 223</t>
  </si>
  <si>
    <t>959 0503 04 0 00 01000 244 225</t>
  </si>
  <si>
    <t>959 0503 04 0 00 01000 244 226</t>
  </si>
  <si>
    <t>959 0503 04 0 00 01000 244 310</t>
  </si>
  <si>
    <t>959 0503 04 0 00 01000 244 340</t>
  </si>
  <si>
    <t>959 0503 04 0 00 03000 244 226</t>
  </si>
  <si>
    <t>959 0503 04 0 00 03000 244 310</t>
  </si>
  <si>
    <t>959 0503 04 0 00 03000 244 340</t>
  </si>
  <si>
    <t>959 0503 04 0 00 04000 244 226</t>
  </si>
  <si>
    <t>959 0503 04 0 00 04000 244 310</t>
  </si>
  <si>
    <t>959 0503 04 0 00 04000 244 340</t>
  </si>
  <si>
    <t xml:space="preserve">    959 0503  04 0 00 04000</t>
  </si>
  <si>
    <t xml:space="preserve">    959 0503  04 0 00 03000</t>
  </si>
  <si>
    <t xml:space="preserve">    959 0503  04 0 00 01000 </t>
  </si>
  <si>
    <t>959 0503 04 0 00 05000 244 225</t>
  </si>
  <si>
    <t xml:space="preserve">    959 0503  04 0 00 05000 </t>
  </si>
  <si>
    <t>959 0503 04 0 00 05000 244 226</t>
  </si>
  <si>
    <t>959 0503 04 0 00 05000 244 290</t>
  </si>
  <si>
    <t>959 0503 04 0 00 05000 244 310</t>
  </si>
  <si>
    <t>959 0503 04 0 00 05000 244 340</t>
  </si>
  <si>
    <t xml:space="preserve">    959 0503  04 0 00 08014</t>
  </si>
  <si>
    <t>959 0503 04 0 00 80140 851 290</t>
  </si>
  <si>
    <t xml:space="preserve">    959 1101 00 0 00 0000 000 000</t>
  </si>
  <si>
    <t>959 1101 02 0 00 00230 244 340</t>
  </si>
  <si>
    <t>Обеспечение проведения выборов и референдумов</t>
  </si>
  <si>
    <t>Резервные фонды</t>
  </si>
  <si>
    <t>Физическая культура</t>
  </si>
  <si>
    <t>182 1 01 02010 01 4000 110</t>
  </si>
  <si>
    <r>
      <t>Сумма налога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  в соответствии со статьями 227, 227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0"/>
      </rPr>
      <t xml:space="preserve"> и 228 Налогового кодекса Российской Федерации</t>
    </r>
  </si>
  <si>
    <r>
      <t>Пени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   в соответствии со статьями 227, 227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0"/>
      </rPr>
      <t xml:space="preserve"> и 228 НК РФ</t>
    </r>
  </si>
  <si>
    <t xml:space="preserve">Прочие поступления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НК РФ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НК РФ
</t>
  </si>
  <si>
    <t>959 1 01 02030 01 1000 110</t>
  </si>
  <si>
    <t>Денежные взыскания (штрафы) по земельному налогу с организаций, обладающих земельным участком, расположенным в границах сельских поселений</t>
  </si>
  <si>
    <t>959 1 06 06033 10 2100 110</t>
  </si>
  <si>
    <t>959 1 06 06033 10 3000 110</t>
  </si>
  <si>
    <t>959 0409 03 0 00 20680 244 226</t>
  </si>
  <si>
    <r>
      <t xml:space="preserve">на </t>
    </r>
    <r>
      <rPr>
        <b/>
        <u val="single"/>
        <sz val="10"/>
        <color indexed="10"/>
        <rFont val="Arial"/>
        <family val="2"/>
      </rPr>
      <t xml:space="preserve">1 июля </t>
    </r>
    <r>
      <rPr>
        <b/>
        <u val="single"/>
        <sz val="10"/>
        <rFont val="Arial"/>
        <family val="2"/>
      </rPr>
      <t>2018 г.</t>
    </r>
  </si>
  <si>
    <t>959 0502 99 0 00 02000 244 226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</si>
</sst>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_₽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6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u val="single"/>
      <sz val="8"/>
      <name val="Arial Cyr"/>
      <family val="0"/>
    </font>
    <font>
      <sz val="12"/>
      <name val="Arial Cyr"/>
      <family val="0"/>
    </font>
    <font>
      <b/>
      <i/>
      <u val="single"/>
      <sz val="8"/>
      <name val="Arial Cyr"/>
      <family val="0"/>
    </font>
    <font>
      <i/>
      <u val="single"/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i/>
      <sz val="8"/>
      <name val="Arial Cyr"/>
      <family val="0"/>
    </font>
    <font>
      <vertAlign val="superscript"/>
      <sz val="8"/>
      <name val="Arial Cyr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0"/>
      <color indexed="10"/>
      <name val="Arial"/>
      <family val="2"/>
    </font>
    <font>
      <b/>
      <sz val="8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hair"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thin"/>
      <right/>
      <top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/>
      <right style="medium"/>
      <top/>
      <bottom/>
    </border>
    <border>
      <left/>
      <right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hair"/>
      <top/>
      <bottom style="hair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0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2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4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left" wrapText="1"/>
    </xf>
    <xf numFmtId="4" fontId="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 horizontal="centerContinuous"/>
    </xf>
    <xf numFmtId="49" fontId="5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4" fontId="7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/>
    </xf>
    <xf numFmtId="0" fontId="5" fillId="33" borderId="19" xfId="0" applyFont="1" applyFill="1" applyBorder="1" applyAlignment="1">
      <alignment vertical="top" wrapText="1"/>
    </xf>
    <xf numFmtId="0" fontId="3" fillId="34" borderId="19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35" borderId="19" xfId="0" applyFont="1" applyFill="1" applyBorder="1" applyAlignment="1">
      <alignment vertical="top" wrapText="1"/>
    </xf>
    <xf numFmtId="0" fontId="3" fillId="36" borderId="19" xfId="0" applyFont="1" applyFill="1" applyBorder="1" applyAlignment="1">
      <alignment vertical="top" wrapText="1"/>
    </xf>
    <xf numFmtId="0" fontId="3" fillId="35" borderId="20" xfId="0" applyFont="1" applyFill="1" applyBorder="1" applyAlignment="1">
      <alignment vertical="top" wrapText="1"/>
    </xf>
    <xf numFmtId="49" fontId="6" fillId="0" borderId="0" xfId="0" applyNumberFormat="1" applyFont="1" applyAlignment="1">
      <alignment/>
    </xf>
    <xf numFmtId="49" fontId="3" fillId="0" borderId="21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left" wrapText="1"/>
    </xf>
    <xf numFmtId="4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vertical="top" wrapText="1"/>
    </xf>
    <xf numFmtId="0" fontId="3" fillId="33" borderId="29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49" fontId="7" fillId="0" borderId="0" xfId="0" applyNumberFormat="1" applyFont="1" applyFill="1" applyBorder="1" applyAlignment="1">
      <alignment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3" fillId="37" borderId="19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horizontal="left" vertical="center"/>
    </xf>
    <xf numFmtId="0" fontId="13" fillId="0" borderId="0" xfId="53" applyFont="1" applyBorder="1" applyAlignment="1">
      <alignment horizontal="center" vertical="center"/>
      <protection/>
    </xf>
    <xf numFmtId="49" fontId="13" fillId="0" borderId="0" xfId="53" applyNumberFormat="1" applyFont="1" applyBorder="1" applyAlignment="1">
      <alignment horizontal="centerContinuous" vertical="center"/>
      <protection/>
    </xf>
    <xf numFmtId="49" fontId="13" fillId="0" borderId="0" xfId="55" applyNumberFormat="1" applyFont="1" applyAlignment="1">
      <alignment horizontal="left" wrapText="1"/>
      <protection/>
    </xf>
    <xf numFmtId="49" fontId="13" fillId="0" borderId="0" xfId="53" applyNumberFormat="1" applyFont="1" applyBorder="1" applyAlignment="1">
      <alignment horizontal="left" wrapText="1"/>
      <protection/>
    </xf>
    <xf numFmtId="49" fontId="13" fillId="0" borderId="0" xfId="53" applyNumberFormat="1" applyFont="1" applyBorder="1" applyAlignment="1">
      <alignment wrapText="1"/>
      <protection/>
    </xf>
    <xf numFmtId="0" fontId="0" fillId="0" borderId="0" xfId="0" applyAlignment="1">
      <alignment wrapText="1" shrinkToFit="1"/>
    </xf>
    <xf numFmtId="49" fontId="13" fillId="0" borderId="31" xfId="53" applyNumberFormat="1" applyFont="1" applyBorder="1" applyAlignment="1">
      <alignment horizontal="left" wrapText="1"/>
      <protection/>
    </xf>
    <xf numFmtId="0" fontId="13" fillId="0" borderId="0" xfId="53" applyFont="1" applyBorder="1" applyAlignment="1">
      <alignment horizontal="center" wrapText="1"/>
      <protection/>
    </xf>
    <xf numFmtId="0" fontId="13" fillId="0" borderId="0" xfId="53" applyFont="1" applyBorder="1" applyAlignment="1">
      <alignment wrapText="1"/>
      <protection/>
    </xf>
    <xf numFmtId="49" fontId="15" fillId="0" borderId="0" xfId="53" applyNumberFormat="1" applyFont="1" applyBorder="1" applyAlignment="1">
      <alignment/>
      <protection/>
    </xf>
    <xf numFmtId="49" fontId="3" fillId="0" borderId="32" xfId="0" applyNumberFormat="1" applyFont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 wrapText="1"/>
    </xf>
    <xf numFmtId="0" fontId="3" fillId="37" borderId="35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vertical="top" wrapText="1"/>
    </xf>
    <xf numFmtId="0" fontId="3" fillId="37" borderId="39" xfId="0" applyFont="1" applyFill="1" applyBorder="1" applyAlignment="1">
      <alignment vertical="top" wrapText="1"/>
    </xf>
    <xf numFmtId="0" fontId="3" fillId="34" borderId="39" xfId="0" applyFont="1" applyFill="1" applyBorder="1" applyAlignment="1">
      <alignment vertical="top" wrapText="1"/>
    </xf>
    <xf numFmtId="0" fontId="3" fillId="0" borderId="39" xfId="0" applyFont="1" applyFill="1" applyBorder="1" applyAlignment="1">
      <alignment vertical="top" wrapText="1"/>
    </xf>
    <xf numFmtId="0" fontId="3" fillId="35" borderId="39" xfId="0" applyFont="1" applyFill="1" applyBorder="1" applyAlignment="1">
      <alignment vertical="top" wrapText="1"/>
    </xf>
    <xf numFmtId="0" fontId="5" fillId="33" borderId="39" xfId="0" applyFont="1" applyFill="1" applyBorder="1" applyAlignment="1">
      <alignment vertical="top" wrapText="1"/>
    </xf>
    <xf numFmtId="0" fontId="3" fillId="36" borderId="39" xfId="0" applyFont="1" applyFill="1" applyBorder="1" applyAlignment="1">
      <alignment vertical="top" wrapText="1"/>
    </xf>
    <xf numFmtId="0" fontId="13" fillId="0" borderId="39" xfId="53" applyFont="1" applyBorder="1" applyAlignment="1">
      <alignment horizontal="left" wrapText="1"/>
      <protection/>
    </xf>
    <xf numFmtId="0" fontId="3" fillId="35" borderId="40" xfId="0" applyFont="1" applyFill="1" applyBorder="1" applyAlignment="1">
      <alignment vertical="top" wrapText="1"/>
    </xf>
    <xf numFmtId="0" fontId="3" fillId="0" borderId="40" xfId="0" applyFont="1" applyFill="1" applyBorder="1" applyAlignment="1">
      <alignment vertical="top" wrapText="1"/>
    </xf>
    <xf numFmtId="49" fontId="10" fillId="33" borderId="41" xfId="0" applyNumberFormat="1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vertical="center" wrapText="1"/>
    </xf>
    <xf numFmtId="0" fontId="13" fillId="0" borderId="0" xfId="53" applyFont="1" applyBorder="1" applyAlignment="1">
      <alignment horizontal="right" vertical="center" indent="1"/>
      <protection/>
    </xf>
    <xf numFmtId="49" fontId="17" fillId="0" borderId="0" xfId="53" applyNumberFormat="1" applyFont="1" applyBorder="1" applyAlignment="1">
      <alignment wrapText="1"/>
      <protection/>
    </xf>
    <xf numFmtId="49" fontId="17" fillId="0" borderId="0" xfId="53" applyNumberFormat="1" applyFont="1" applyBorder="1" applyAlignment="1">
      <alignment/>
      <protection/>
    </xf>
    <xf numFmtId="0" fontId="5" fillId="33" borderId="43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/>
    </xf>
    <xf numFmtId="49" fontId="3" fillId="0" borderId="2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 wrapText="1"/>
    </xf>
    <xf numFmtId="49" fontId="3" fillId="0" borderId="21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49" fontId="3" fillId="38" borderId="21" xfId="0" applyNumberFormat="1" applyFont="1" applyFill="1" applyBorder="1" applyAlignment="1">
      <alignment horizontal="center" vertical="center" wrapText="1"/>
    </xf>
    <xf numFmtId="4" fontId="3" fillId="38" borderId="21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0" fontId="3" fillId="0" borderId="44" xfId="0" applyFont="1" applyBorder="1" applyAlignment="1">
      <alignment horizontal="left" vertical="center" wrapText="1"/>
    </xf>
    <xf numFmtId="49" fontId="3" fillId="0" borderId="45" xfId="0" applyNumberFormat="1" applyFont="1" applyBorder="1" applyAlignment="1">
      <alignment horizontal="center" wrapText="1"/>
    </xf>
    <xf numFmtId="49" fontId="3" fillId="0" borderId="45" xfId="0" applyNumberFormat="1" applyFont="1" applyBorder="1" applyAlignment="1">
      <alignment horizontal="center" vertical="center" wrapText="1"/>
    </xf>
    <xf numFmtId="4" fontId="3" fillId="0" borderId="45" xfId="0" applyNumberFormat="1" applyFont="1" applyBorder="1" applyAlignment="1">
      <alignment horizontal="center" vertical="center" wrapText="1"/>
    </xf>
    <xf numFmtId="4" fontId="3" fillId="0" borderId="45" xfId="0" applyNumberFormat="1" applyFont="1" applyBorder="1" applyAlignment="1">
      <alignment horizontal="center" vertical="center"/>
    </xf>
    <xf numFmtId="4" fontId="9" fillId="0" borderId="45" xfId="0" applyNumberFormat="1" applyFont="1" applyBorder="1" applyAlignment="1">
      <alignment horizontal="center" vertical="center"/>
    </xf>
    <xf numFmtId="4" fontId="8" fillId="0" borderId="46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4" fontId="8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 vertical="center"/>
    </xf>
    <xf numFmtId="4" fontId="3" fillId="38" borderId="24" xfId="0" applyNumberFormat="1" applyFont="1" applyFill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9" fontId="3" fillId="38" borderId="21" xfId="0" applyNumberFormat="1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35" borderId="22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wrapText="1"/>
    </xf>
    <xf numFmtId="49" fontId="3" fillId="38" borderId="24" xfId="0" applyNumberFormat="1" applyFont="1" applyFill="1" applyBorder="1" applyAlignment="1">
      <alignment horizontal="center" vertical="center"/>
    </xf>
    <xf numFmtId="0" fontId="3" fillId="0" borderId="48" xfId="0" applyFont="1" applyBorder="1" applyAlignment="1">
      <alignment horizontal="left" wrapText="1"/>
    </xf>
    <xf numFmtId="49" fontId="3" fillId="0" borderId="49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 vertical="center" wrapText="1"/>
    </xf>
    <xf numFmtId="4" fontId="3" fillId="0" borderId="49" xfId="0" applyNumberFormat="1" applyFont="1" applyBorder="1" applyAlignment="1">
      <alignment horizontal="center" vertical="center"/>
    </xf>
    <xf numFmtId="4" fontId="9" fillId="0" borderId="49" xfId="0" applyNumberFormat="1" applyFont="1" applyBorder="1" applyAlignment="1">
      <alignment horizontal="center" vertical="center"/>
    </xf>
    <xf numFmtId="4" fontId="8" fillId="0" borderId="50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/>
    </xf>
    <xf numFmtId="49" fontId="3" fillId="38" borderId="16" xfId="0" applyNumberFormat="1" applyFont="1" applyFill="1" applyBorder="1" applyAlignment="1">
      <alignment horizontal="center" vertical="center" wrapText="1"/>
    </xf>
    <xf numFmtId="4" fontId="3" fillId="38" borderId="16" xfId="0" applyNumberFormat="1" applyFont="1" applyFill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9" fontId="3" fillId="38" borderId="16" xfId="0" applyNumberFormat="1" applyFont="1" applyFill="1" applyBorder="1" applyAlignment="1">
      <alignment horizontal="center" vertical="center"/>
    </xf>
    <xf numFmtId="0" fontId="3" fillId="0" borderId="48" xfId="0" applyFont="1" applyBorder="1" applyAlignment="1">
      <alignment horizontal="left" vertical="center" wrapText="1"/>
    </xf>
    <xf numFmtId="49" fontId="3" fillId="0" borderId="49" xfId="0" applyNumberFormat="1" applyFont="1" applyBorder="1" applyAlignment="1">
      <alignment horizontal="center" vertical="center"/>
    </xf>
    <xf numFmtId="4" fontId="3" fillId="0" borderId="53" xfId="0" applyNumberFormat="1" applyFont="1" applyFill="1" applyBorder="1" applyAlignment="1">
      <alignment horizontal="center" vertical="center"/>
    </xf>
    <xf numFmtId="4" fontId="3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9" fontId="3" fillId="35" borderId="16" xfId="0" applyNumberFormat="1" applyFont="1" applyFill="1" applyBorder="1" applyAlignment="1">
      <alignment horizontal="center"/>
    </xf>
    <xf numFmtId="4" fontId="3" fillId="35" borderId="16" xfId="0" applyNumberFormat="1" applyFont="1" applyFill="1" applyBorder="1" applyAlignment="1">
      <alignment horizontal="center" vertical="center"/>
    </xf>
    <xf numFmtId="4" fontId="9" fillId="35" borderId="52" xfId="0" applyNumberFormat="1" applyFont="1" applyFill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wrapText="1"/>
    </xf>
    <xf numFmtId="4" fontId="3" fillId="0" borderId="49" xfId="0" applyNumberFormat="1" applyFont="1" applyBorder="1" applyAlignment="1">
      <alignment horizontal="center" vertical="center" wrapText="1"/>
    </xf>
    <xf numFmtId="49" fontId="5" fillId="33" borderId="45" xfId="0" applyNumberFormat="1" applyFont="1" applyFill="1" applyBorder="1" applyAlignment="1">
      <alignment horizontal="center" vertical="center" wrapText="1"/>
    </xf>
    <xf numFmtId="49" fontId="3" fillId="33" borderId="45" xfId="0" applyNumberFormat="1" applyFont="1" applyFill="1" applyBorder="1" applyAlignment="1">
      <alignment horizontal="center" vertical="center" wrapText="1"/>
    </xf>
    <xf numFmtId="4" fontId="3" fillId="33" borderId="45" xfId="0" applyNumberFormat="1" applyFont="1" applyFill="1" applyBorder="1" applyAlignment="1">
      <alignment horizontal="center" vertical="center" wrapText="1"/>
    </xf>
    <xf numFmtId="4" fontId="6" fillId="33" borderId="45" xfId="0" applyNumberFormat="1" applyFont="1" applyFill="1" applyBorder="1" applyAlignment="1">
      <alignment horizontal="center" vertical="center" wrapText="1"/>
    </xf>
    <xf numFmtId="4" fontId="6" fillId="33" borderId="46" xfId="0" applyNumberFormat="1" applyFont="1" applyFill="1" applyBorder="1" applyAlignment="1">
      <alignment horizontal="center" vertical="center" wrapText="1"/>
    </xf>
    <xf numFmtId="4" fontId="8" fillId="0" borderId="23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/>
    </xf>
    <xf numFmtId="0" fontId="3" fillId="0" borderId="47" xfId="0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center"/>
    </xf>
    <xf numFmtId="4" fontId="3" fillId="0" borderId="24" xfId="0" applyNumberFormat="1" applyFont="1" applyFill="1" applyBorder="1" applyAlignment="1">
      <alignment horizontal="center" vertical="center"/>
    </xf>
    <xf numFmtId="4" fontId="8" fillId="0" borderId="25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left" vertical="center" wrapText="1"/>
    </xf>
    <xf numFmtId="49" fontId="3" fillId="34" borderId="21" xfId="0" applyNumberFormat="1" applyFont="1" applyFill="1" applyBorder="1" applyAlignment="1">
      <alignment horizontal="center"/>
    </xf>
    <xf numFmtId="49" fontId="5" fillId="34" borderId="21" xfId="0" applyNumberFormat="1" applyFont="1" applyFill="1" applyBorder="1" applyAlignment="1">
      <alignment horizontal="left" vertical="center" wrapText="1"/>
    </xf>
    <xf numFmtId="4" fontId="3" fillId="34" borderId="21" xfId="0" applyNumberFormat="1" applyFont="1" applyFill="1" applyBorder="1" applyAlignment="1">
      <alignment horizontal="center" vertical="center"/>
    </xf>
    <xf numFmtId="4" fontId="6" fillId="34" borderId="21" xfId="0" applyNumberFormat="1" applyFont="1" applyFill="1" applyBorder="1" applyAlignment="1">
      <alignment horizontal="center" vertical="center"/>
    </xf>
    <xf numFmtId="4" fontId="8" fillId="34" borderId="23" xfId="0" applyNumberFormat="1" applyFont="1" applyFill="1" applyBorder="1" applyAlignment="1">
      <alignment horizontal="center" vertical="center"/>
    </xf>
    <xf numFmtId="4" fontId="5" fillId="34" borderId="21" xfId="0" applyNumberFormat="1" applyFont="1" applyFill="1" applyBorder="1" applyAlignment="1">
      <alignment horizontal="center" vertical="center"/>
    </xf>
    <xf numFmtId="49" fontId="5" fillId="34" borderId="21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49" fontId="3" fillId="38" borderId="24" xfId="0" applyNumberFormat="1" applyFont="1" applyFill="1" applyBorder="1" applyAlignment="1">
      <alignment horizontal="center" vertical="center" wrapText="1"/>
    </xf>
    <xf numFmtId="49" fontId="5" fillId="34" borderId="21" xfId="0" applyNumberFormat="1" applyFont="1" applyFill="1" applyBorder="1" applyAlignment="1">
      <alignment horizontal="left" vertical="center"/>
    </xf>
    <xf numFmtId="4" fontId="8" fillId="34" borderId="21" xfId="0" applyNumberFormat="1" applyFont="1" applyFill="1" applyBorder="1" applyAlignment="1">
      <alignment horizontal="center" vertical="center"/>
    </xf>
    <xf numFmtId="0" fontId="3" fillId="0" borderId="55" xfId="0" applyFont="1" applyBorder="1" applyAlignment="1">
      <alignment horizontal="left" vertical="center" wrapText="1"/>
    </xf>
    <xf numFmtId="49" fontId="3" fillId="0" borderId="53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 vertical="center"/>
    </xf>
    <xf numFmtId="49" fontId="3" fillId="33" borderId="29" xfId="0" applyNumberFormat="1" applyFont="1" applyFill="1" applyBorder="1" applyAlignment="1">
      <alignment horizontal="right" vertical="center" indent="1"/>
    </xf>
    <xf numFmtId="49" fontId="3" fillId="0" borderId="27" xfId="0" applyNumberFormat="1" applyFont="1" applyFill="1" applyBorder="1" applyAlignment="1">
      <alignment horizontal="right" vertical="center" indent="1"/>
    </xf>
    <xf numFmtId="49" fontId="3" fillId="0" borderId="33" xfId="0" applyNumberFormat="1" applyFont="1" applyFill="1" applyBorder="1" applyAlignment="1">
      <alignment horizontal="right" vertical="center" indent="1"/>
    </xf>
    <xf numFmtId="49" fontId="3" fillId="33" borderId="56" xfId="0" applyNumberFormat="1" applyFont="1" applyFill="1" applyBorder="1" applyAlignment="1">
      <alignment horizontal="right" vertical="center" indent="1"/>
    </xf>
    <xf numFmtId="49" fontId="3" fillId="33" borderId="27" xfId="0" applyNumberFormat="1" applyFont="1" applyFill="1" applyBorder="1" applyAlignment="1">
      <alignment horizontal="right" vertical="center" indent="1"/>
    </xf>
    <xf numFmtId="4" fontId="5" fillId="33" borderId="34" xfId="0" applyNumberFormat="1" applyFont="1" applyFill="1" applyBorder="1" applyAlignment="1">
      <alignment horizontal="right" vertical="center" indent="1"/>
    </xf>
    <xf numFmtId="4" fontId="5" fillId="0" borderId="38" xfId="0" applyNumberFormat="1" applyFont="1" applyFill="1" applyBorder="1" applyAlignment="1">
      <alignment horizontal="right" vertical="center" indent="1"/>
    </xf>
    <xf numFmtId="4" fontId="5" fillId="0" borderId="31" xfId="0" applyNumberFormat="1" applyFont="1" applyFill="1" applyBorder="1" applyAlignment="1">
      <alignment horizontal="right" vertical="center" indent="1"/>
    </xf>
    <xf numFmtId="4" fontId="5" fillId="33" borderId="57" xfId="0" applyNumberFormat="1" applyFont="1" applyFill="1" applyBorder="1" applyAlignment="1">
      <alignment horizontal="right" vertical="center" indent="1"/>
    </xf>
    <xf numFmtId="4" fontId="5" fillId="33" borderId="38" xfId="0" applyNumberFormat="1" applyFont="1" applyFill="1" applyBorder="1" applyAlignment="1">
      <alignment horizontal="right" vertical="center" indent="1"/>
    </xf>
    <xf numFmtId="4" fontId="3" fillId="37" borderId="35" xfId="0" applyNumberFormat="1" applyFont="1" applyFill="1" applyBorder="1" applyAlignment="1">
      <alignment horizontal="right" vertical="center" indent="1"/>
    </xf>
    <xf numFmtId="4" fontId="3" fillId="0" borderId="39" xfId="0" applyNumberFormat="1" applyFont="1" applyFill="1" applyBorder="1" applyAlignment="1">
      <alignment horizontal="right" vertical="center" indent="1"/>
    </xf>
    <xf numFmtId="4" fontId="3" fillId="0" borderId="58" xfId="0" applyNumberFormat="1" applyFont="1" applyFill="1" applyBorder="1" applyAlignment="1">
      <alignment horizontal="right" vertical="center" indent="1"/>
    </xf>
    <xf numFmtId="4" fontId="5" fillId="37" borderId="57" xfId="0" applyNumberFormat="1" applyFont="1" applyFill="1" applyBorder="1" applyAlignment="1">
      <alignment horizontal="right" vertical="center" indent="1"/>
    </xf>
    <xf numFmtId="4" fontId="3" fillId="37" borderId="39" xfId="0" applyNumberFormat="1" applyFont="1" applyFill="1" applyBorder="1" applyAlignment="1">
      <alignment horizontal="right" vertical="center" indent="1"/>
    </xf>
    <xf numFmtId="4" fontId="3" fillId="34" borderId="35" xfId="0" applyNumberFormat="1" applyFont="1" applyFill="1" applyBorder="1" applyAlignment="1">
      <alignment horizontal="right" vertical="center" indent="1"/>
    </xf>
    <xf numFmtId="4" fontId="5" fillId="34" borderId="57" xfId="0" applyNumberFormat="1" applyFont="1" applyFill="1" applyBorder="1" applyAlignment="1">
      <alignment horizontal="right" vertical="center" indent="1"/>
    </xf>
    <xf numFmtId="4" fontId="3" fillId="34" borderId="39" xfId="0" applyNumberFormat="1" applyFont="1" applyFill="1" applyBorder="1" applyAlignment="1">
      <alignment horizontal="right" vertical="center" indent="1"/>
    </xf>
    <xf numFmtId="4" fontId="3" fillId="0" borderId="35" xfId="0" applyNumberFormat="1" applyFont="1" applyFill="1" applyBorder="1" applyAlignment="1">
      <alignment horizontal="right" vertical="center" indent="1"/>
    </xf>
    <xf numFmtId="4" fontId="5" fillId="0" borderId="57" xfId="0" applyNumberFormat="1" applyFont="1" applyFill="1" applyBorder="1" applyAlignment="1">
      <alignment horizontal="right" vertical="center" indent="1"/>
    </xf>
    <xf numFmtId="4" fontId="3" fillId="0" borderId="35" xfId="0" applyNumberFormat="1" applyFont="1" applyBorder="1" applyAlignment="1">
      <alignment horizontal="right" vertical="center" indent="1"/>
    </xf>
    <xf numFmtId="4" fontId="5" fillId="0" borderId="57" xfId="0" applyNumberFormat="1" applyFont="1" applyBorder="1" applyAlignment="1">
      <alignment horizontal="right" vertical="center" indent="1"/>
    </xf>
    <xf numFmtId="4" fontId="3" fillId="0" borderId="39" xfId="0" applyNumberFormat="1" applyFont="1" applyBorder="1" applyAlignment="1">
      <alignment horizontal="right" vertical="center" indent="1"/>
    </xf>
    <xf numFmtId="4" fontId="3" fillId="37" borderId="35" xfId="0" applyNumberFormat="1" applyFont="1" applyFill="1" applyBorder="1" applyAlignment="1">
      <alignment horizontal="right" vertical="center" indent="1"/>
    </xf>
    <xf numFmtId="4" fontId="3" fillId="0" borderId="39" xfId="0" applyNumberFormat="1" applyFont="1" applyFill="1" applyBorder="1" applyAlignment="1">
      <alignment horizontal="right" vertical="center" indent="1"/>
    </xf>
    <xf numFmtId="4" fontId="3" fillId="0" borderId="58" xfId="0" applyNumberFormat="1" applyFont="1" applyFill="1" applyBorder="1" applyAlignment="1">
      <alignment horizontal="right" vertical="center" indent="1"/>
    </xf>
    <xf numFmtId="4" fontId="3" fillId="37" borderId="57" xfId="0" applyNumberFormat="1" applyFont="1" applyFill="1" applyBorder="1" applyAlignment="1">
      <alignment horizontal="right" vertical="center" indent="1"/>
    </xf>
    <xf numFmtId="4" fontId="3" fillId="37" borderId="39" xfId="0" applyNumberFormat="1" applyFont="1" applyFill="1" applyBorder="1" applyAlignment="1">
      <alignment horizontal="right" vertical="center" indent="1"/>
    </xf>
    <xf numFmtId="4" fontId="5" fillId="33" borderId="35" xfId="0" applyNumberFormat="1" applyFont="1" applyFill="1" applyBorder="1" applyAlignment="1">
      <alignment horizontal="right" vertical="center" indent="1"/>
    </xf>
    <xf numFmtId="4" fontId="5" fillId="33" borderId="39" xfId="0" applyNumberFormat="1" applyFont="1" applyFill="1" applyBorder="1" applyAlignment="1">
      <alignment horizontal="right" vertical="center" indent="1"/>
    </xf>
    <xf numFmtId="4" fontId="3" fillId="34" borderId="57" xfId="0" applyNumberFormat="1" applyFont="1" applyFill="1" applyBorder="1" applyAlignment="1">
      <alignment horizontal="right" vertical="center" indent="1"/>
    </xf>
    <xf numFmtId="4" fontId="3" fillId="0" borderId="57" xfId="0" applyNumberFormat="1" applyFont="1" applyBorder="1" applyAlignment="1">
      <alignment horizontal="right" vertical="center" indent="1"/>
    </xf>
    <xf numFmtId="4" fontId="3" fillId="36" borderId="36" xfId="0" applyNumberFormat="1" applyFont="1" applyFill="1" applyBorder="1" applyAlignment="1">
      <alignment horizontal="right" vertical="center" indent="1"/>
    </xf>
    <xf numFmtId="4" fontId="3" fillId="0" borderId="40" xfId="0" applyNumberFormat="1" applyFont="1" applyFill="1" applyBorder="1" applyAlignment="1">
      <alignment horizontal="right" vertical="center" indent="1"/>
    </xf>
    <xf numFmtId="4" fontId="3" fillId="0" borderId="59" xfId="0" applyNumberFormat="1" applyFont="1" applyFill="1" applyBorder="1" applyAlignment="1">
      <alignment horizontal="right" vertical="center" indent="1"/>
    </xf>
    <xf numFmtId="4" fontId="3" fillId="0" borderId="36" xfId="0" applyNumberFormat="1" applyFont="1" applyBorder="1" applyAlignment="1">
      <alignment horizontal="right" vertical="center" indent="1"/>
    </xf>
    <xf numFmtId="4" fontId="3" fillId="0" borderId="40" xfId="0" applyNumberFormat="1" applyFont="1" applyBorder="1" applyAlignment="1">
      <alignment horizontal="right" vertical="center" indent="1"/>
    </xf>
    <xf numFmtId="4" fontId="3" fillId="0" borderId="36" xfId="0" applyNumberFormat="1" applyFont="1" applyFill="1" applyBorder="1" applyAlignment="1">
      <alignment horizontal="right" vertical="center" indent="1"/>
    </xf>
    <xf numFmtId="4" fontId="3" fillId="34" borderId="36" xfId="0" applyNumberFormat="1" applyFont="1" applyFill="1" applyBorder="1" applyAlignment="1">
      <alignment horizontal="right" vertical="center" indent="1"/>
    </xf>
    <xf numFmtId="4" fontId="5" fillId="33" borderId="37" xfId="0" applyNumberFormat="1" applyFont="1" applyFill="1" applyBorder="1" applyAlignment="1">
      <alignment horizontal="right" vertical="center" wrapText="1" indent="1"/>
    </xf>
    <xf numFmtId="4" fontId="3" fillId="0" borderId="42" xfId="0" applyNumberFormat="1" applyFont="1" applyFill="1" applyBorder="1" applyAlignment="1">
      <alignment horizontal="right" vertical="center" wrapText="1" indent="1"/>
    </xf>
    <xf numFmtId="4" fontId="3" fillId="0" borderId="60" xfId="0" applyNumberFormat="1" applyFont="1" applyFill="1" applyBorder="1" applyAlignment="1">
      <alignment horizontal="right" vertical="center" wrapText="1" indent="1"/>
    </xf>
    <xf numFmtId="4" fontId="5" fillId="33" borderId="61" xfId="0" applyNumberFormat="1" applyFont="1" applyFill="1" applyBorder="1" applyAlignment="1">
      <alignment horizontal="right" vertical="center" wrapText="1" indent="1"/>
    </xf>
    <xf numFmtId="172" fontId="10" fillId="33" borderId="26" xfId="0" applyNumberFormat="1" applyFont="1" applyFill="1" applyBorder="1" applyAlignment="1">
      <alignment vertical="center"/>
    </xf>
    <xf numFmtId="172" fontId="11" fillId="0" borderId="14" xfId="0" applyNumberFormat="1" applyFont="1" applyFill="1" applyBorder="1" applyAlignment="1">
      <alignment vertical="center"/>
    </xf>
    <xf numFmtId="172" fontId="11" fillId="0" borderId="62" xfId="0" applyNumberFormat="1" applyFont="1" applyFill="1" applyBorder="1" applyAlignment="1">
      <alignment vertical="center"/>
    </xf>
    <xf numFmtId="172" fontId="10" fillId="33" borderId="63" xfId="0" applyNumberFormat="1" applyFont="1" applyFill="1" applyBorder="1" applyAlignment="1">
      <alignment vertical="center"/>
    </xf>
    <xf numFmtId="0" fontId="19" fillId="0" borderId="64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49" fontId="19" fillId="0" borderId="65" xfId="0" applyNumberFormat="1" applyFont="1" applyBorder="1" applyAlignment="1">
      <alignment horizontal="center" vertical="center"/>
    </xf>
    <xf numFmtId="49" fontId="19" fillId="0" borderId="66" xfId="0" applyNumberFormat="1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49" fontId="19" fillId="0" borderId="41" xfId="0" applyNumberFormat="1" applyFont="1" applyBorder="1" applyAlignment="1">
      <alignment horizontal="center" vertical="center"/>
    </xf>
    <xf numFmtId="49" fontId="19" fillId="0" borderId="41" xfId="0" applyNumberFormat="1" applyFont="1" applyFill="1" applyBorder="1" applyAlignment="1">
      <alignment horizontal="center" vertical="center"/>
    </xf>
    <xf numFmtId="0" fontId="3" fillId="39" borderId="22" xfId="0" applyFont="1" applyFill="1" applyBorder="1" applyAlignment="1">
      <alignment horizontal="left" vertical="center" wrapText="1"/>
    </xf>
    <xf numFmtId="49" fontId="3" fillId="39" borderId="49" xfId="0" applyNumberFormat="1" applyFont="1" applyFill="1" applyBorder="1" applyAlignment="1">
      <alignment horizontal="center"/>
    </xf>
    <xf numFmtId="49" fontId="3" fillId="39" borderId="49" xfId="0" applyNumberFormat="1" applyFont="1" applyFill="1" applyBorder="1" applyAlignment="1">
      <alignment horizontal="center" vertical="center" wrapText="1"/>
    </xf>
    <xf numFmtId="4" fontId="3" fillId="39" borderId="49" xfId="0" applyNumberFormat="1" applyFont="1" applyFill="1" applyBorder="1" applyAlignment="1">
      <alignment horizontal="center" vertical="center"/>
    </xf>
    <xf numFmtId="4" fontId="8" fillId="39" borderId="50" xfId="0" applyNumberFormat="1" applyFont="1" applyFill="1" applyBorder="1" applyAlignment="1">
      <alignment horizontal="center" vertical="center"/>
    </xf>
    <xf numFmtId="49" fontId="3" fillId="39" borderId="21" xfId="0" applyNumberFormat="1" applyFont="1" applyFill="1" applyBorder="1" applyAlignment="1">
      <alignment horizontal="center"/>
    </xf>
    <xf numFmtId="49" fontId="3" fillId="39" borderId="21" xfId="0" applyNumberFormat="1" applyFont="1" applyFill="1" applyBorder="1" applyAlignment="1">
      <alignment horizontal="center" vertical="center" wrapText="1"/>
    </xf>
    <xf numFmtId="4" fontId="3" fillId="39" borderId="21" xfId="0" applyNumberFormat="1" applyFont="1" applyFill="1" applyBorder="1" applyAlignment="1">
      <alignment horizontal="center" vertical="center"/>
    </xf>
    <xf numFmtId="4" fontId="8" fillId="39" borderId="23" xfId="0" applyNumberFormat="1" applyFont="1" applyFill="1" applyBorder="1" applyAlignment="1">
      <alignment horizontal="center" vertical="center"/>
    </xf>
    <xf numFmtId="0" fontId="3" fillId="39" borderId="48" xfId="0" applyFont="1" applyFill="1" applyBorder="1" applyAlignment="1">
      <alignment horizontal="left" vertical="center" wrapText="1"/>
    </xf>
    <xf numFmtId="49" fontId="3" fillId="34" borderId="21" xfId="0" applyNumberFormat="1" applyFont="1" applyFill="1" applyBorder="1" applyAlignment="1">
      <alignment horizontal="center" wrapText="1"/>
    </xf>
    <xf numFmtId="49" fontId="3" fillId="34" borderId="21" xfId="0" applyNumberFormat="1" applyFont="1" applyFill="1" applyBorder="1" applyAlignment="1">
      <alignment horizontal="center"/>
    </xf>
    <xf numFmtId="4" fontId="3" fillId="34" borderId="21" xfId="0" applyNumberFormat="1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 horizontal="center"/>
    </xf>
    <xf numFmtId="0" fontId="3" fillId="34" borderId="22" xfId="0" applyFont="1" applyFill="1" applyBorder="1" applyAlignment="1">
      <alignment horizontal="left" wrapText="1"/>
    </xf>
    <xf numFmtId="4" fontId="3" fillId="34" borderId="23" xfId="0" applyNumberFormat="1" applyFont="1" applyFill="1" applyBorder="1" applyAlignment="1">
      <alignment horizontal="center"/>
    </xf>
    <xf numFmtId="49" fontId="3" fillId="0" borderId="24" xfId="0" applyNumberFormat="1" applyFont="1" applyBorder="1" applyAlignment="1">
      <alignment horizontal="center" wrapText="1"/>
    </xf>
    <xf numFmtId="0" fontId="13" fillId="0" borderId="0" xfId="53" applyFont="1" applyFill="1" applyBorder="1">
      <alignment/>
      <protection/>
    </xf>
    <xf numFmtId="0" fontId="13" fillId="0" borderId="0" xfId="53" applyFont="1" applyFill="1" applyBorder="1" applyAlignment="1">
      <alignment horizontal="left"/>
      <protection/>
    </xf>
    <xf numFmtId="49" fontId="13" fillId="0" borderId="0" xfId="53" applyNumberFormat="1" applyFont="1" applyFill="1" applyBorder="1">
      <alignment/>
      <protection/>
    </xf>
    <xf numFmtId="0" fontId="13" fillId="0" borderId="0" xfId="53" applyFont="1" applyBorder="1" applyAlignment="1">
      <alignment horizontal="center"/>
      <protection/>
    </xf>
    <xf numFmtId="0" fontId="13" fillId="0" borderId="0" xfId="53" applyFont="1" applyBorder="1">
      <alignment/>
      <protection/>
    </xf>
    <xf numFmtId="0" fontId="13" fillId="0" borderId="0" xfId="53" applyFont="1" applyBorder="1" applyAlignment="1">
      <alignment/>
      <protection/>
    </xf>
    <xf numFmtId="0" fontId="16" fillId="0" borderId="0" xfId="53" applyFont="1" applyBorder="1">
      <alignment/>
      <protection/>
    </xf>
    <xf numFmtId="49" fontId="13" fillId="0" borderId="0" xfId="55" applyNumberFormat="1" applyFont="1" applyBorder="1" applyAlignment="1">
      <alignment wrapText="1"/>
      <protection/>
    </xf>
    <xf numFmtId="0" fontId="13" fillId="0" borderId="0" xfId="53" applyFont="1" applyBorder="1" applyAlignment="1">
      <alignment horizontal="right" vertical="center" wrapText="1" indent="1" shrinkToFit="1"/>
      <protection/>
    </xf>
    <xf numFmtId="0" fontId="13" fillId="0" borderId="0" xfId="53" applyFont="1" applyBorder="1" applyAlignment="1">
      <alignment horizontal="left" wrapText="1"/>
      <protection/>
    </xf>
    <xf numFmtId="0" fontId="13" fillId="0" borderId="0" xfId="53" applyFont="1" applyBorder="1" applyAlignment="1">
      <alignment horizontal="right" vertical="center" wrapText="1" indent="1"/>
      <protection/>
    </xf>
    <xf numFmtId="49" fontId="13" fillId="0" borderId="0" xfId="55" applyNumberFormat="1" applyFont="1" applyBorder="1" applyAlignment="1">
      <alignment wrapText="1" shrinkToFit="1"/>
      <protection/>
    </xf>
    <xf numFmtId="49" fontId="15" fillId="0" borderId="39" xfId="53" applyNumberFormat="1" applyFont="1" applyBorder="1" applyAlignment="1">
      <alignment wrapText="1" shrinkToFit="1"/>
      <protection/>
    </xf>
    <xf numFmtId="0" fontId="2" fillId="0" borderId="0" xfId="0" applyFont="1" applyBorder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Border="1" applyAlignment="1">
      <alignment horizontal="centerContinuous"/>
    </xf>
    <xf numFmtId="0" fontId="3" fillId="40" borderId="48" xfId="0" applyFont="1" applyFill="1" applyBorder="1" applyAlignment="1">
      <alignment horizontal="left" vertical="center" wrapText="1"/>
    </xf>
    <xf numFmtId="49" fontId="3" fillId="34" borderId="49" xfId="0" applyNumberFormat="1" applyFont="1" applyFill="1" applyBorder="1" applyAlignment="1">
      <alignment horizontal="center"/>
    </xf>
    <xf numFmtId="49" fontId="3" fillId="34" borderId="49" xfId="0" applyNumberFormat="1" applyFont="1" applyFill="1" applyBorder="1" applyAlignment="1">
      <alignment horizontal="center" vertical="center" wrapText="1"/>
    </xf>
    <xf numFmtId="4" fontId="3" fillId="34" borderId="49" xfId="0" applyNumberFormat="1" applyFont="1" applyFill="1" applyBorder="1" applyAlignment="1">
      <alignment horizontal="center" vertical="center"/>
    </xf>
    <xf numFmtId="4" fontId="8" fillId="34" borderId="50" xfId="0" applyNumberFormat="1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left" vertical="center" wrapText="1"/>
    </xf>
    <xf numFmtId="49" fontId="3" fillId="34" borderId="21" xfId="0" applyNumberFormat="1" applyFont="1" applyFill="1" applyBorder="1" applyAlignment="1">
      <alignment horizontal="center" vertical="center" wrapText="1"/>
    </xf>
    <xf numFmtId="0" fontId="5" fillId="41" borderId="67" xfId="0" applyFont="1" applyFill="1" applyBorder="1" applyAlignment="1">
      <alignment horizontal="left" vertical="center" wrapText="1"/>
    </xf>
    <xf numFmtId="49" fontId="5" fillId="41" borderId="68" xfId="0" applyNumberFormat="1" applyFont="1" applyFill="1" applyBorder="1" applyAlignment="1">
      <alignment horizontal="center" wrapText="1"/>
    </xf>
    <xf numFmtId="49" fontId="5" fillId="41" borderId="68" xfId="0" applyNumberFormat="1" applyFont="1" applyFill="1" applyBorder="1" applyAlignment="1">
      <alignment horizontal="center" vertical="center" wrapText="1"/>
    </xf>
    <xf numFmtId="4" fontId="5" fillId="41" borderId="68" xfId="0" applyNumberFormat="1" applyFont="1" applyFill="1" applyBorder="1" applyAlignment="1">
      <alignment horizontal="center" vertical="center" wrapText="1"/>
    </xf>
    <xf numFmtId="4" fontId="8" fillId="41" borderId="68" xfId="0" applyNumberFormat="1" applyFont="1" applyFill="1" applyBorder="1" applyAlignment="1">
      <alignment horizontal="center" vertical="center"/>
    </xf>
    <xf numFmtId="4" fontId="5" fillId="41" borderId="68" xfId="0" applyNumberFormat="1" applyFont="1" applyFill="1" applyBorder="1" applyAlignment="1">
      <alignment horizontal="center" vertical="center"/>
    </xf>
    <xf numFmtId="4" fontId="8" fillId="41" borderId="69" xfId="0" applyNumberFormat="1" applyFont="1" applyFill="1" applyBorder="1" applyAlignment="1">
      <alignment horizontal="center" vertical="center"/>
    </xf>
    <xf numFmtId="0" fontId="5" fillId="41" borderId="70" xfId="0" applyFont="1" applyFill="1" applyBorder="1" applyAlignment="1">
      <alignment horizontal="left" vertical="center" wrapText="1"/>
    </xf>
    <xf numFmtId="49" fontId="5" fillId="41" borderId="71" xfId="0" applyNumberFormat="1" applyFont="1" applyFill="1" applyBorder="1" applyAlignment="1">
      <alignment horizontal="center" wrapText="1"/>
    </xf>
    <xf numFmtId="4" fontId="5" fillId="41" borderId="71" xfId="0" applyNumberFormat="1" applyFont="1" applyFill="1" applyBorder="1" applyAlignment="1">
      <alignment horizontal="center" vertical="center" wrapText="1"/>
    </xf>
    <xf numFmtId="4" fontId="8" fillId="41" borderId="71" xfId="0" applyNumberFormat="1" applyFont="1" applyFill="1" applyBorder="1" applyAlignment="1">
      <alignment horizontal="center" vertical="center"/>
    </xf>
    <xf numFmtId="4" fontId="5" fillId="41" borderId="71" xfId="0" applyNumberFormat="1" applyFont="1" applyFill="1" applyBorder="1" applyAlignment="1">
      <alignment horizontal="center" vertical="center"/>
    </xf>
    <xf numFmtId="4" fontId="8" fillId="41" borderId="72" xfId="0" applyNumberFormat="1" applyFont="1" applyFill="1" applyBorder="1" applyAlignment="1">
      <alignment horizontal="center" vertical="center"/>
    </xf>
    <xf numFmtId="49" fontId="3" fillId="41" borderId="68" xfId="0" applyNumberFormat="1" applyFont="1" applyFill="1" applyBorder="1" applyAlignment="1">
      <alignment horizontal="center"/>
    </xf>
    <xf numFmtId="4" fontId="3" fillId="41" borderId="68" xfId="0" applyNumberFormat="1" applyFont="1" applyFill="1" applyBorder="1" applyAlignment="1">
      <alignment horizontal="center" vertical="center"/>
    </xf>
    <xf numFmtId="49" fontId="5" fillId="41" borderId="68" xfId="0" applyNumberFormat="1" applyFont="1" applyFill="1" applyBorder="1" applyAlignment="1">
      <alignment horizontal="center"/>
    </xf>
    <xf numFmtId="49" fontId="5" fillId="41" borderId="68" xfId="0" applyNumberFormat="1" applyFont="1" applyFill="1" applyBorder="1" applyAlignment="1">
      <alignment horizontal="center" vertical="center"/>
    </xf>
    <xf numFmtId="4" fontId="6" fillId="41" borderId="68" xfId="0" applyNumberFormat="1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left" vertical="center" wrapText="1"/>
    </xf>
    <xf numFmtId="49" fontId="3" fillId="34" borderId="49" xfId="0" applyNumberFormat="1" applyFont="1" applyFill="1" applyBorder="1" applyAlignment="1">
      <alignment horizontal="center" vertical="center"/>
    </xf>
    <xf numFmtId="49" fontId="3" fillId="34" borderId="21" xfId="0" applyNumberFormat="1" applyFont="1" applyFill="1" applyBorder="1" applyAlignment="1">
      <alignment horizontal="center" vertical="center"/>
    </xf>
    <xf numFmtId="0" fontId="5" fillId="42" borderId="64" xfId="0" applyFont="1" applyFill="1" applyBorder="1" applyAlignment="1">
      <alignment horizontal="left" vertical="center" wrapText="1"/>
    </xf>
    <xf numFmtId="49" fontId="3" fillId="42" borderId="65" xfId="0" applyNumberFormat="1" applyFont="1" applyFill="1" applyBorder="1" applyAlignment="1">
      <alignment horizontal="center" wrapText="1"/>
    </xf>
    <xf numFmtId="49" fontId="5" fillId="42" borderId="65" xfId="0" applyNumberFormat="1" applyFont="1" applyFill="1" applyBorder="1" applyAlignment="1">
      <alignment horizontal="center" vertical="center" wrapText="1"/>
    </xf>
    <xf numFmtId="4" fontId="5" fillId="42" borderId="65" xfId="0" applyNumberFormat="1" applyFont="1" applyFill="1" applyBorder="1" applyAlignment="1">
      <alignment horizontal="center" vertical="center"/>
    </xf>
    <xf numFmtId="4" fontId="6" fillId="42" borderId="65" xfId="0" applyNumberFormat="1" applyFont="1" applyFill="1" applyBorder="1" applyAlignment="1">
      <alignment horizontal="center" vertical="center"/>
    </xf>
    <xf numFmtId="4" fontId="3" fillId="42" borderId="65" xfId="0" applyNumberFormat="1" applyFont="1" applyFill="1" applyBorder="1" applyAlignment="1">
      <alignment horizontal="center" vertical="center"/>
    </xf>
    <xf numFmtId="4" fontId="6" fillId="42" borderId="66" xfId="0" applyNumberFormat="1" applyFont="1" applyFill="1" applyBorder="1" applyAlignment="1">
      <alignment horizontal="center" vertical="center"/>
    </xf>
    <xf numFmtId="0" fontId="5" fillId="42" borderId="67" xfId="0" applyFont="1" applyFill="1" applyBorder="1" applyAlignment="1">
      <alignment horizontal="left" vertical="center" wrapText="1"/>
    </xf>
    <xf numFmtId="49" fontId="5" fillId="42" borderId="68" xfId="0" applyNumberFormat="1" applyFont="1" applyFill="1" applyBorder="1" applyAlignment="1">
      <alignment horizontal="center"/>
    </xf>
    <xf numFmtId="49" fontId="5" fillId="42" borderId="68" xfId="0" applyNumberFormat="1" applyFont="1" applyFill="1" applyBorder="1" applyAlignment="1">
      <alignment horizontal="center" vertical="center" wrapText="1"/>
    </xf>
    <xf numFmtId="4" fontId="5" fillId="42" borderId="68" xfId="0" applyNumberFormat="1" applyFont="1" applyFill="1" applyBorder="1" applyAlignment="1">
      <alignment horizontal="center" vertical="center"/>
    </xf>
    <xf numFmtId="4" fontId="8" fillId="42" borderId="69" xfId="0" applyNumberFormat="1" applyFont="1" applyFill="1" applyBorder="1" applyAlignment="1">
      <alignment horizontal="center" vertical="center"/>
    </xf>
    <xf numFmtId="49" fontId="3" fillId="42" borderId="68" xfId="0" applyNumberFormat="1" applyFont="1" applyFill="1" applyBorder="1" applyAlignment="1">
      <alignment horizontal="center"/>
    </xf>
    <xf numFmtId="49" fontId="5" fillId="42" borderId="68" xfId="0" applyNumberFormat="1" applyFont="1" applyFill="1" applyBorder="1" applyAlignment="1">
      <alignment horizontal="center" vertical="center"/>
    </xf>
    <xf numFmtId="4" fontId="6" fillId="42" borderId="68" xfId="0" applyNumberFormat="1" applyFont="1" applyFill="1" applyBorder="1" applyAlignment="1">
      <alignment horizontal="center" vertical="center"/>
    </xf>
    <xf numFmtId="4" fontId="3" fillId="42" borderId="68" xfId="0" applyNumberFormat="1" applyFont="1" applyFill="1" applyBorder="1" applyAlignment="1">
      <alignment horizontal="center" vertical="center"/>
    </xf>
    <xf numFmtId="4" fontId="6" fillId="42" borderId="69" xfId="0" applyNumberFormat="1" applyFont="1" applyFill="1" applyBorder="1" applyAlignment="1">
      <alignment horizontal="center" vertical="center"/>
    </xf>
    <xf numFmtId="49" fontId="3" fillId="34" borderId="16" xfId="0" applyNumberFormat="1" applyFont="1" applyFill="1" applyBorder="1" applyAlignment="1">
      <alignment horizontal="center"/>
    </xf>
    <xf numFmtId="49" fontId="3" fillId="34" borderId="16" xfId="0" applyNumberFormat="1" applyFont="1" applyFill="1" applyBorder="1" applyAlignment="1">
      <alignment horizontal="center" vertical="center"/>
    </xf>
    <xf numFmtId="4" fontId="3" fillId="34" borderId="16" xfId="0" applyNumberFormat="1" applyFont="1" applyFill="1" applyBorder="1" applyAlignment="1">
      <alignment horizontal="center" vertical="center"/>
    </xf>
    <xf numFmtId="4" fontId="8" fillId="34" borderId="52" xfId="0" applyNumberFormat="1" applyFont="1" applyFill="1" applyBorder="1" applyAlignment="1">
      <alignment horizontal="center" vertical="center"/>
    </xf>
    <xf numFmtId="0" fontId="5" fillId="42" borderId="67" xfId="0" applyFont="1" applyFill="1" applyBorder="1" applyAlignment="1">
      <alignment horizontal="left" wrapText="1"/>
    </xf>
    <xf numFmtId="0" fontId="5" fillId="41" borderId="67" xfId="0" applyFont="1" applyFill="1" applyBorder="1" applyAlignment="1">
      <alignment horizontal="left" wrapText="1"/>
    </xf>
    <xf numFmtId="4" fontId="6" fillId="41" borderId="69" xfId="0" applyNumberFormat="1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left" wrapText="1"/>
    </xf>
    <xf numFmtId="0" fontId="5" fillId="33" borderId="67" xfId="0" applyFont="1" applyFill="1" applyBorder="1" applyAlignment="1">
      <alignment horizontal="left" vertical="center" wrapText="1"/>
    </xf>
    <xf numFmtId="49" fontId="3" fillId="33" borderId="68" xfId="0" applyNumberFormat="1" applyFont="1" applyFill="1" applyBorder="1" applyAlignment="1">
      <alignment horizontal="center" vertical="center"/>
    </xf>
    <xf numFmtId="4" fontId="3" fillId="33" borderId="68" xfId="0" applyNumberFormat="1" applyFont="1" applyFill="1" applyBorder="1" applyAlignment="1">
      <alignment horizontal="center" vertical="center"/>
    </xf>
    <xf numFmtId="4" fontId="3" fillId="33" borderId="69" xfId="0" applyNumberFormat="1" applyFont="1" applyFill="1" applyBorder="1" applyAlignment="1">
      <alignment horizontal="center" vertical="center"/>
    </xf>
    <xf numFmtId="0" fontId="3" fillId="35" borderId="57" xfId="0" applyFont="1" applyFill="1" applyBorder="1" applyAlignment="1">
      <alignment vertical="top" wrapText="1"/>
    </xf>
    <xf numFmtId="0" fontId="3" fillId="35" borderId="39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4" fontId="3" fillId="35" borderId="35" xfId="0" applyNumberFormat="1" applyFont="1" applyFill="1" applyBorder="1" applyAlignment="1">
      <alignment horizontal="right" vertical="center" indent="1"/>
    </xf>
    <xf numFmtId="4" fontId="3" fillId="35" borderId="39" xfId="0" applyNumberFormat="1" applyFont="1" applyFill="1" applyBorder="1" applyAlignment="1">
      <alignment horizontal="right" vertical="center" indent="1"/>
    </xf>
    <xf numFmtId="4" fontId="3" fillId="35" borderId="58" xfId="0" applyNumberFormat="1" applyFont="1" applyFill="1" applyBorder="1" applyAlignment="1">
      <alignment horizontal="right" vertical="center" indent="1"/>
    </xf>
    <xf numFmtId="4" fontId="5" fillId="35" borderId="57" xfId="0" applyNumberFormat="1" applyFont="1" applyFill="1" applyBorder="1" applyAlignment="1">
      <alignment horizontal="right" vertical="center" indent="1"/>
    </xf>
    <xf numFmtId="0" fontId="3" fillId="43" borderId="19" xfId="0" applyFont="1" applyFill="1" applyBorder="1" applyAlignment="1">
      <alignment vertical="top" wrapText="1"/>
    </xf>
    <xf numFmtId="0" fontId="3" fillId="43" borderId="39" xfId="0" applyFont="1" applyFill="1" applyBorder="1" applyAlignment="1">
      <alignment vertical="top" wrapText="1"/>
    </xf>
    <xf numFmtId="0" fontId="3" fillId="43" borderId="35" xfId="0" applyFont="1" applyFill="1" applyBorder="1" applyAlignment="1">
      <alignment horizontal="center" vertical="center" wrapText="1"/>
    </xf>
    <xf numFmtId="4" fontId="3" fillId="43" borderId="35" xfId="0" applyNumberFormat="1" applyFont="1" applyFill="1" applyBorder="1" applyAlignment="1">
      <alignment horizontal="right" vertical="center" indent="1"/>
    </xf>
    <xf numFmtId="4" fontId="3" fillId="43" borderId="39" xfId="0" applyNumberFormat="1" applyFont="1" applyFill="1" applyBorder="1" applyAlignment="1">
      <alignment horizontal="right" vertical="center" indent="1"/>
    </xf>
    <xf numFmtId="4" fontId="3" fillId="0" borderId="19" xfId="0" applyNumberFormat="1" applyFont="1" applyBorder="1" applyAlignment="1">
      <alignment horizontal="center" vertical="center"/>
    </xf>
    <xf numFmtId="49" fontId="3" fillId="41" borderId="49" xfId="0" applyNumberFormat="1" applyFont="1" applyFill="1" applyBorder="1" applyAlignment="1">
      <alignment horizontal="center" wrapText="1"/>
    </xf>
    <xf numFmtId="0" fontId="3" fillId="44" borderId="22" xfId="0" applyFont="1" applyFill="1" applyBorder="1" applyAlignment="1">
      <alignment horizontal="left" wrapText="1"/>
    </xf>
    <xf numFmtId="49" fontId="3" fillId="44" borderId="21" xfId="0" applyNumberFormat="1" applyFont="1" applyFill="1" applyBorder="1" applyAlignment="1">
      <alignment horizontal="center" wrapText="1"/>
    </xf>
    <xf numFmtId="49" fontId="3" fillId="44" borderId="2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left" wrapText="1"/>
    </xf>
    <xf numFmtId="0" fontId="5" fillId="45" borderId="22" xfId="0" applyFont="1" applyFill="1" applyBorder="1" applyAlignment="1">
      <alignment horizontal="left" wrapText="1"/>
    </xf>
    <xf numFmtId="49" fontId="3" fillId="45" borderId="21" xfId="0" applyNumberFormat="1" applyFont="1" applyFill="1" applyBorder="1" applyAlignment="1">
      <alignment horizontal="center"/>
    </xf>
    <xf numFmtId="4" fontId="5" fillId="45" borderId="21" xfId="0" applyNumberFormat="1" applyFont="1" applyFill="1" applyBorder="1" applyAlignment="1">
      <alignment horizontal="center"/>
    </xf>
    <xf numFmtId="4" fontId="3" fillId="45" borderId="21" xfId="0" applyNumberFormat="1" applyFont="1" applyFill="1" applyBorder="1" applyAlignment="1">
      <alignment horizontal="center"/>
    </xf>
    <xf numFmtId="4" fontId="3" fillId="45" borderId="23" xfId="0" applyNumberFormat="1" applyFont="1" applyFill="1" applyBorder="1" applyAlignment="1">
      <alignment horizontal="center"/>
    </xf>
    <xf numFmtId="4" fontId="5" fillId="34" borderId="21" xfId="0" applyNumberFormat="1" applyFont="1" applyFill="1" applyBorder="1" applyAlignment="1">
      <alignment horizontal="center"/>
    </xf>
    <xf numFmtId="4" fontId="13" fillId="34" borderId="21" xfId="0" applyNumberFormat="1" applyFont="1" applyFill="1" applyBorder="1" applyAlignment="1">
      <alignment horizontal="center"/>
    </xf>
    <xf numFmtId="4" fontId="13" fillId="34" borderId="23" xfId="0" applyNumberFormat="1" applyFont="1" applyFill="1" applyBorder="1" applyAlignment="1">
      <alignment horizontal="center"/>
    </xf>
    <xf numFmtId="49" fontId="21" fillId="0" borderId="21" xfId="54" applyNumberFormat="1" applyFont="1" applyBorder="1" applyAlignment="1">
      <alignment horizontal="center"/>
      <protection/>
    </xf>
    <xf numFmtId="4" fontId="21" fillId="0" borderId="21" xfId="54" applyNumberFormat="1" applyFont="1" applyBorder="1" applyAlignment="1">
      <alignment horizontal="center"/>
      <protection/>
    </xf>
    <xf numFmtId="4" fontId="13" fillId="0" borderId="21" xfId="54" applyNumberFormat="1" applyFont="1" applyBorder="1" applyAlignment="1">
      <alignment horizontal="center"/>
      <protection/>
    </xf>
    <xf numFmtId="4" fontId="13" fillId="0" borderId="23" xfId="54" applyNumberFormat="1" applyFont="1" applyBorder="1" applyAlignment="1">
      <alignment horizontal="center"/>
      <protection/>
    </xf>
    <xf numFmtId="4" fontId="0" fillId="34" borderId="2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" fontId="13" fillId="45" borderId="21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4" fontId="5" fillId="41" borderId="49" xfId="0" applyNumberFormat="1" applyFont="1" applyFill="1" applyBorder="1" applyAlignment="1">
      <alignment horizontal="center"/>
    </xf>
    <xf numFmtId="4" fontId="5" fillId="41" borderId="50" xfId="0" applyNumberFormat="1" applyFont="1" applyFill="1" applyBorder="1" applyAlignment="1">
      <alignment horizontal="center"/>
    </xf>
    <xf numFmtId="4" fontId="5" fillId="45" borderId="23" xfId="0" applyNumberFormat="1" applyFont="1" applyFill="1" applyBorder="1" applyAlignment="1">
      <alignment horizontal="center"/>
    </xf>
    <xf numFmtId="4" fontId="5" fillId="44" borderId="21" xfId="0" applyNumberFormat="1" applyFont="1" applyFill="1" applyBorder="1" applyAlignment="1">
      <alignment horizontal="center"/>
    </xf>
    <xf numFmtId="4" fontId="5" fillId="44" borderId="23" xfId="0" applyNumberFormat="1" applyFont="1" applyFill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49" fontId="3" fillId="45" borderId="21" xfId="0" applyNumberFormat="1" applyFont="1" applyFill="1" applyBorder="1" applyAlignment="1">
      <alignment horizontal="center" wrapText="1"/>
    </xf>
    <xf numFmtId="49" fontId="5" fillId="34" borderId="21" xfId="0" applyNumberFormat="1" applyFont="1" applyFill="1" applyBorder="1" applyAlignment="1">
      <alignment horizontal="center" vertical="center" wrapText="1"/>
    </xf>
    <xf numFmtId="14" fontId="22" fillId="0" borderId="39" xfId="53" applyNumberFormat="1" applyFont="1" applyFill="1" applyBorder="1" applyAlignment="1">
      <alignment horizontal="center"/>
      <protection/>
    </xf>
    <xf numFmtId="4" fontId="5" fillId="33" borderId="68" xfId="0" applyNumberFormat="1" applyFont="1" applyFill="1" applyBorder="1" applyAlignment="1">
      <alignment horizontal="center" vertical="center"/>
    </xf>
    <xf numFmtId="0" fontId="3" fillId="45" borderId="19" xfId="0" applyFont="1" applyFill="1" applyBorder="1" applyAlignment="1">
      <alignment vertical="top" wrapText="1"/>
    </xf>
    <xf numFmtId="0" fontId="3" fillId="45" borderId="39" xfId="0" applyFont="1" applyFill="1" applyBorder="1" applyAlignment="1">
      <alignment vertical="top" wrapText="1"/>
    </xf>
    <xf numFmtId="0" fontId="3" fillId="45" borderId="35" xfId="0" applyFont="1" applyFill="1" applyBorder="1" applyAlignment="1">
      <alignment horizontal="center" vertical="center" wrapText="1"/>
    </xf>
    <xf numFmtId="4" fontId="3" fillId="45" borderId="35" xfId="0" applyNumberFormat="1" applyFont="1" applyFill="1" applyBorder="1" applyAlignment="1">
      <alignment horizontal="right" vertical="center" indent="1"/>
    </xf>
    <xf numFmtId="4" fontId="5" fillId="45" borderId="57" xfId="0" applyNumberFormat="1" applyFont="1" applyFill="1" applyBorder="1" applyAlignment="1">
      <alignment horizontal="right" vertical="center" indent="1"/>
    </xf>
    <xf numFmtId="4" fontId="3" fillId="45" borderId="39" xfId="0" applyNumberFormat="1" applyFont="1" applyFill="1" applyBorder="1" applyAlignment="1">
      <alignment horizontal="right" vertical="center" indent="1"/>
    </xf>
    <xf numFmtId="0" fontId="5" fillId="41" borderId="48" xfId="0" applyFont="1" applyFill="1" applyBorder="1" applyAlignment="1">
      <alignment horizontal="left" wrapText="1"/>
    </xf>
    <xf numFmtId="0" fontId="3" fillId="0" borderId="47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49" fontId="3" fillId="0" borderId="73" xfId="0" applyNumberFormat="1" applyFont="1" applyBorder="1" applyAlignment="1">
      <alignment horizontal="right" vertical="center"/>
    </xf>
    <xf numFmtId="0" fontId="3" fillId="45" borderId="58" xfId="0" applyFont="1" applyFill="1" applyBorder="1" applyAlignment="1">
      <alignment vertical="top" wrapText="1"/>
    </xf>
    <xf numFmtId="49" fontId="23" fillId="0" borderId="39" xfId="53" applyNumberFormat="1" applyFont="1" applyBorder="1" applyAlignment="1">
      <alignment/>
      <protection/>
    </xf>
    <xf numFmtId="49" fontId="23" fillId="0" borderId="39" xfId="53" applyNumberFormat="1" applyFont="1" applyBorder="1" applyAlignment="1">
      <alignment horizontal="center"/>
      <protection/>
    </xf>
    <xf numFmtId="49" fontId="23" fillId="0" borderId="39" xfId="53" applyNumberFormat="1" applyFont="1" applyBorder="1" applyAlignment="1">
      <alignment horizontal="center" wrapText="1" shrinkToFit="1"/>
      <protection/>
    </xf>
    <xf numFmtId="49" fontId="23" fillId="0" borderId="42" xfId="53" applyNumberFormat="1" applyFont="1" applyBorder="1" applyAlignment="1">
      <alignment horizontal="center"/>
      <protection/>
    </xf>
    <xf numFmtId="49" fontId="24" fillId="0" borderId="0" xfId="53" applyNumberFormat="1" applyFont="1" applyBorder="1" applyAlignment="1">
      <alignment/>
      <protection/>
    </xf>
    <xf numFmtId="49" fontId="23" fillId="0" borderId="27" xfId="53" applyNumberFormat="1" applyFont="1" applyBorder="1" applyAlignment="1">
      <alignment horizontal="center"/>
      <protection/>
    </xf>
    <xf numFmtId="0" fontId="3" fillId="35" borderId="58" xfId="0" applyFont="1" applyFill="1" applyBorder="1" applyAlignment="1">
      <alignment vertical="top" wrapText="1"/>
    </xf>
    <xf numFmtId="4" fontId="3" fillId="38" borderId="31" xfId="0" applyNumberFormat="1" applyFont="1" applyFill="1" applyBorder="1" applyAlignment="1">
      <alignment horizontal="center" vertical="center"/>
    </xf>
    <xf numFmtId="4" fontId="3" fillId="38" borderId="74" xfId="0" applyNumberFormat="1" applyFont="1" applyFill="1" applyBorder="1" applyAlignment="1">
      <alignment horizontal="center" vertical="center"/>
    </xf>
    <xf numFmtId="4" fontId="3" fillId="38" borderId="53" xfId="0" applyNumberFormat="1" applyFont="1" applyFill="1" applyBorder="1" applyAlignment="1">
      <alignment horizontal="center" vertical="center"/>
    </xf>
    <xf numFmtId="4" fontId="3" fillId="38" borderId="59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right"/>
    </xf>
    <xf numFmtId="4" fontId="3" fillId="0" borderId="21" xfId="0" applyNumberFormat="1" applyFont="1" applyFill="1" applyBorder="1" applyAlignment="1">
      <alignment vertical="center" wrapText="1"/>
    </xf>
    <xf numFmtId="4" fontId="3" fillId="0" borderId="24" xfId="0" applyNumberFormat="1" applyFont="1" applyFill="1" applyBorder="1" applyAlignment="1">
      <alignment vertical="center" wrapText="1"/>
    </xf>
    <xf numFmtId="4" fontId="3" fillId="41" borderId="65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38" xfId="0" applyNumberFormat="1" applyFont="1" applyFill="1" applyBorder="1" applyAlignment="1">
      <alignment horizontal="right" vertical="center" indent="1"/>
    </xf>
    <xf numFmtId="4" fontId="3" fillId="37" borderId="40" xfId="0" applyNumberFormat="1" applyFont="1" applyFill="1" applyBorder="1" applyAlignment="1">
      <alignment horizontal="right" vertical="center" indent="1"/>
    </xf>
    <xf numFmtId="4" fontId="3" fillId="45" borderId="38" xfId="0" applyNumberFormat="1" applyFont="1" applyFill="1" applyBorder="1" applyAlignment="1">
      <alignment horizontal="right" vertical="center" indent="1"/>
    </xf>
    <xf numFmtId="4" fontId="3" fillId="0" borderId="75" xfId="0" applyNumberFormat="1" applyFont="1" applyBorder="1" applyAlignment="1">
      <alignment horizontal="right" vertical="center" indent="1"/>
    </xf>
    <xf numFmtId="4" fontId="3" fillId="0" borderId="76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/>
    </xf>
    <xf numFmtId="172" fontId="10" fillId="33" borderId="14" xfId="0" applyNumberFormat="1" applyFont="1" applyFill="1" applyBorder="1" applyAlignment="1">
      <alignment horizontal="center" vertical="center"/>
    </xf>
    <xf numFmtId="4" fontId="5" fillId="33" borderId="4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9" fontId="3" fillId="0" borderId="77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/>
    </xf>
    <xf numFmtId="49" fontId="3" fillId="0" borderId="77" xfId="0" applyNumberFormat="1" applyFont="1" applyBorder="1" applyAlignment="1">
      <alignment horizontal="left" vertical="center"/>
    </xf>
    <xf numFmtId="49" fontId="3" fillId="0" borderId="78" xfId="0" applyNumberFormat="1" applyFont="1" applyBorder="1" applyAlignment="1">
      <alignment horizontal="center" vertical="center"/>
    </xf>
    <xf numFmtId="49" fontId="3" fillId="0" borderId="79" xfId="0" applyNumberFormat="1" applyFont="1" applyBorder="1" applyAlignment="1">
      <alignment horizontal="center" vertical="center"/>
    </xf>
    <xf numFmtId="49" fontId="3" fillId="0" borderId="80" xfId="0" applyNumberFormat="1" applyFont="1" applyBorder="1" applyAlignment="1">
      <alignment horizontal="left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81" xfId="0" applyNumberFormat="1" applyFont="1" applyBorder="1" applyAlignment="1">
      <alignment horizontal="center" vertical="center"/>
    </xf>
    <xf numFmtId="2" fontId="3" fillId="0" borderId="81" xfId="0" applyNumberFormat="1" applyFont="1" applyBorder="1" applyAlignment="1">
      <alignment horizontal="center" vertical="center"/>
    </xf>
    <xf numFmtId="49" fontId="3" fillId="0" borderId="82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6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vertical="center" wrapText="1"/>
    </xf>
    <xf numFmtId="0" fontId="3" fillId="0" borderId="65" xfId="0" applyFont="1" applyBorder="1" applyAlignment="1">
      <alignment vertical="center" wrapText="1"/>
    </xf>
    <xf numFmtId="0" fontId="3" fillId="0" borderId="79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81" xfId="0" applyFont="1" applyFill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4" fontId="3" fillId="0" borderId="65" xfId="0" applyNumberFormat="1" applyFont="1" applyBorder="1" applyAlignment="1">
      <alignment horizontal="center" vertical="center"/>
    </xf>
    <xf numFmtId="4" fontId="3" fillId="0" borderId="66" xfId="0" applyNumberFormat="1" applyFont="1" applyBorder="1" applyAlignment="1">
      <alignment horizontal="center" vertical="center"/>
    </xf>
    <xf numFmtId="0" fontId="3" fillId="0" borderId="63" xfId="0" applyFont="1" applyBorder="1" applyAlignment="1">
      <alignment horizontal="left"/>
    </xf>
    <xf numFmtId="0" fontId="3" fillId="0" borderId="80" xfId="0" applyFont="1" applyBorder="1" applyAlignment="1">
      <alignment horizontal="center"/>
    </xf>
    <xf numFmtId="49" fontId="3" fillId="0" borderId="71" xfId="0" applyNumberFormat="1" applyFont="1" applyBorder="1" applyAlignment="1">
      <alignment horizontal="center" vertical="center"/>
    </xf>
    <xf numFmtId="4" fontId="3" fillId="0" borderId="72" xfId="0" applyNumberFormat="1" applyFont="1" applyBorder="1" applyAlignment="1">
      <alignment horizontal="center" vertical="center"/>
    </xf>
    <xf numFmtId="0" fontId="0" fillId="0" borderId="83" xfId="0" applyBorder="1" applyAlignment="1">
      <alignment horizontal="left"/>
    </xf>
    <xf numFmtId="4" fontId="3" fillId="0" borderId="54" xfId="0" applyNumberFormat="1" applyFont="1" applyBorder="1" applyAlignment="1">
      <alignment horizontal="center" vertical="center"/>
    </xf>
    <xf numFmtId="0" fontId="3" fillId="0" borderId="83" xfId="0" applyFont="1" applyBorder="1" applyAlignment="1">
      <alignment horizontal="center"/>
    </xf>
    <xf numFmtId="0" fontId="3" fillId="0" borderId="84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4" fontId="19" fillId="0" borderId="65" xfId="0" applyNumberFormat="1" applyFont="1" applyBorder="1" applyAlignment="1">
      <alignment horizontal="center" vertical="center"/>
    </xf>
    <xf numFmtId="4" fontId="19" fillId="0" borderId="66" xfId="0" applyNumberFormat="1" applyFont="1" applyBorder="1" applyAlignment="1">
      <alignment horizontal="center" vertical="center"/>
    </xf>
    <xf numFmtId="4" fontId="5" fillId="38" borderId="21" xfId="0" applyNumberFormat="1" applyFont="1" applyFill="1" applyBorder="1" applyAlignment="1">
      <alignment horizontal="center" vertical="center"/>
    </xf>
    <xf numFmtId="4" fontId="26" fillId="38" borderId="21" xfId="0" applyNumberFormat="1" applyFont="1" applyFill="1" applyBorder="1" applyAlignment="1">
      <alignment horizontal="center" vertical="center"/>
    </xf>
    <xf numFmtId="0" fontId="5" fillId="0" borderId="48" xfId="0" applyFont="1" applyBorder="1" applyAlignment="1">
      <alignment horizontal="left" vertical="center" wrapText="1"/>
    </xf>
    <xf numFmtId="49" fontId="5" fillId="0" borderId="49" xfId="0" applyNumberFormat="1" applyFont="1" applyBorder="1" applyAlignment="1">
      <alignment horizontal="center"/>
    </xf>
    <xf numFmtId="4" fontId="5" fillId="0" borderId="49" xfId="0" applyNumberFormat="1" applyFont="1" applyBorder="1" applyAlignment="1">
      <alignment horizontal="center" vertical="center"/>
    </xf>
    <xf numFmtId="49" fontId="5" fillId="42" borderId="68" xfId="0" applyNumberFormat="1" applyFont="1" applyFill="1" applyBorder="1" applyAlignment="1">
      <alignment horizontal="left" vertical="center" wrapText="1"/>
    </xf>
    <xf numFmtId="49" fontId="18" fillId="0" borderId="0" xfId="53" applyNumberFormat="1" applyFont="1" applyBorder="1" applyAlignment="1">
      <alignment horizontal="center"/>
      <protection/>
    </xf>
    <xf numFmtId="49" fontId="24" fillId="0" borderId="0" xfId="53" applyNumberFormat="1" applyFont="1" applyBorder="1" applyAlignment="1">
      <alignment horizontal="center" wrapText="1"/>
      <protection/>
    </xf>
    <xf numFmtId="0" fontId="14" fillId="0" borderId="0" xfId="53" applyFont="1" applyBorder="1" applyAlignment="1">
      <alignment horizontal="center" vertical="center"/>
      <protection/>
    </xf>
    <xf numFmtId="0" fontId="13" fillId="0" borderId="0" xfId="53" applyFont="1" applyBorder="1" applyAlignment="1">
      <alignment horizontal="center" vertical="center"/>
      <protection/>
    </xf>
    <xf numFmtId="0" fontId="15" fillId="0" borderId="0" xfId="53" applyFont="1" applyBorder="1" applyAlignment="1">
      <alignment horizontal="center" wrapText="1"/>
      <protection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49" fontId="3" fillId="0" borderId="62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4" fontId="3" fillId="0" borderId="85" xfId="0" applyNumberFormat="1" applyFont="1" applyBorder="1" applyAlignment="1">
      <alignment horizontal="center" vertical="top"/>
    </xf>
    <xf numFmtId="4" fontId="3" fillId="0" borderId="45" xfId="0" applyNumberFormat="1" applyFont="1" applyBorder="1" applyAlignment="1">
      <alignment horizontal="center" vertical="top"/>
    </xf>
    <xf numFmtId="4" fontId="3" fillId="0" borderId="86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left"/>
    </xf>
    <xf numFmtId="4" fontId="3" fillId="31" borderId="21" xfId="0" applyNumberFormat="1" applyFont="1" applyFill="1" applyBorder="1" applyAlignment="1">
      <alignment horizontal="center" vertical="center"/>
    </xf>
    <xf numFmtId="4" fontId="26" fillId="31" borderId="21" xfId="0" applyNumberFormat="1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4" xfId="54"/>
    <cellStyle name="Обычный_Справк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S94"/>
  <sheetViews>
    <sheetView tabSelected="1" zoomScalePageLayoutView="0" workbookViewId="0" topLeftCell="A1">
      <selection activeCell="E24" sqref="E24"/>
    </sheetView>
  </sheetViews>
  <sheetFormatPr defaultColWidth="9.00390625" defaultRowHeight="12.75"/>
  <cols>
    <col min="1" max="1" width="47.875" style="2" customWidth="1"/>
    <col min="2" max="2" width="6.75390625" style="2" customWidth="1"/>
    <col min="3" max="3" width="23.375" style="2" customWidth="1"/>
    <col min="4" max="4" width="19.625" style="2" customWidth="1"/>
    <col min="5" max="5" width="14.75390625" style="1" customWidth="1"/>
    <col min="6" max="6" width="10.75390625" style="90" customWidth="1"/>
    <col min="7" max="7" width="8.00390625" style="90" customWidth="1"/>
    <col min="8" max="9" width="14.75390625" style="1" customWidth="1"/>
    <col min="10" max="10" width="8.375" style="0" customWidth="1"/>
  </cols>
  <sheetData>
    <row r="1" spans="1:9" ht="12.75">
      <c r="A1" s="285"/>
      <c r="B1" s="286"/>
      <c r="C1" s="286"/>
      <c r="D1" s="287"/>
      <c r="E1" s="287"/>
      <c r="F1" s="287"/>
      <c r="G1" s="287"/>
      <c r="H1" s="287"/>
      <c r="I1" s="285"/>
    </row>
    <row r="2" spans="1:9" ht="15.75">
      <c r="A2" s="490" t="s">
        <v>171</v>
      </c>
      <c r="B2" s="490"/>
      <c r="C2" s="490"/>
      <c r="D2" s="490"/>
      <c r="E2" s="490"/>
      <c r="F2" s="490"/>
      <c r="G2" s="490"/>
      <c r="H2" s="490"/>
      <c r="I2" s="93"/>
    </row>
    <row r="3" spans="1:9" ht="15.75">
      <c r="A3" s="490" t="s">
        <v>172</v>
      </c>
      <c r="B3" s="490"/>
      <c r="C3" s="490"/>
      <c r="D3" s="490"/>
      <c r="E3" s="490"/>
      <c r="F3" s="490"/>
      <c r="G3" s="490"/>
      <c r="H3" s="490"/>
      <c r="I3" s="94"/>
    </row>
    <row r="4" spans="1:9" ht="15.75">
      <c r="A4" s="490" t="s">
        <v>173</v>
      </c>
      <c r="B4" s="490"/>
      <c r="C4" s="490"/>
      <c r="D4" s="490"/>
      <c r="E4" s="490"/>
      <c r="F4" s="490"/>
      <c r="G4" s="490"/>
      <c r="H4" s="490"/>
      <c r="I4" s="94"/>
    </row>
    <row r="5" spans="1:9" ht="15.75">
      <c r="A5" s="490" t="s">
        <v>174</v>
      </c>
      <c r="B5" s="490"/>
      <c r="C5" s="490"/>
      <c r="D5" s="490"/>
      <c r="E5" s="490"/>
      <c r="F5" s="490"/>
      <c r="G5" s="490"/>
      <c r="H5" s="490"/>
      <c r="I5" s="94"/>
    </row>
    <row r="6" spans="1:9" ht="13.5" thickBot="1">
      <c r="A6" s="491"/>
      <c r="B6" s="491"/>
      <c r="C6" s="491"/>
      <c r="D6" s="491"/>
      <c r="E6" s="491"/>
      <c r="F6" s="491"/>
      <c r="G6" s="491"/>
      <c r="H6" s="491"/>
      <c r="I6" s="288" t="s">
        <v>4</v>
      </c>
    </row>
    <row r="7" spans="1:9" ht="12.75">
      <c r="A7" s="289"/>
      <c r="B7" s="492"/>
      <c r="C7" s="492"/>
      <c r="D7" s="492"/>
      <c r="E7" s="492"/>
      <c r="F7" s="492"/>
      <c r="G7" s="290"/>
      <c r="H7" s="128" t="s">
        <v>175</v>
      </c>
      <c r="I7" s="422" t="s">
        <v>176</v>
      </c>
    </row>
    <row r="8" spans="1:200" ht="15" customHeight="1">
      <c r="A8" s="289"/>
      <c r="B8" s="289"/>
      <c r="C8" s="289"/>
      <c r="D8" s="291" t="s">
        <v>505</v>
      </c>
      <c r="E8" s="289"/>
      <c r="F8" s="289"/>
      <c r="G8" s="289"/>
      <c r="H8" s="128" t="s">
        <v>177</v>
      </c>
      <c r="I8" s="403">
        <v>43282</v>
      </c>
      <c r="GQ8" s="95">
        <f>A8</f>
        <v>0</v>
      </c>
      <c r="GR8" s="96" t="str">
        <f>D8</f>
        <v>на 1 июля 2018 г.</v>
      </c>
    </row>
    <row r="9" spans="1:198" ht="12.75" customHeight="1">
      <c r="A9" s="289" t="s">
        <v>193</v>
      </c>
      <c r="B9" s="292"/>
      <c r="C9" s="292"/>
      <c r="D9" s="129"/>
      <c r="E9" s="129"/>
      <c r="F9" s="129"/>
      <c r="G9" s="97"/>
      <c r="H9" s="293"/>
      <c r="I9" s="297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</row>
    <row r="10" spans="1:9" ht="12.75" customHeight="1">
      <c r="A10" s="289" t="s">
        <v>194</v>
      </c>
      <c r="B10" s="292"/>
      <c r="C10" s="292"/>
      <c r="D10" s="97"/>
      <c r="E10" s="129"/>
      <c r="F10" s="129"/>
      <c r="G10" s="97"/>
      <c r="H10" s="128"/>
      <c r="I10" s="417"/>
    </row>
    <row r="11" spans="1:9" ht="12.75" customHeight="1">
      <c r="A11" s="97" t="s">
        <v>195</v>
      </c>
      <c r="B11" s="292"/>
      <c r="C11" s="292"/>
      <c r="D11" s="129"/>
      <c r="E11" s="129"/>
      <c r="F11" s="129"/>
      <c r="G11" s="97"/>
      <c r="H11" s="128" t="s">
        <v>178</v>
      </c>
      <c r="I11" s="418" t="s">
        <v>179</v>
      </c>
    </row>
    <row r="12" spans="1:9" ht="15">
      <c r="A12" s="294" t="s">
        <v>196</v>
      </c>
      <c r="B12" s="292"/>
      <c r="C12" s="421" t="s">
        <v>135</v>
      </c>
      <c r="D12" s="130"/>
      <c r="E12" s="97"/>
      <c r="F12" s="97"/>
      <c r="G12" s="97"/>
      <c r="H12" s="295" t="s">
        <v>180</v>
      </c>
      <c r="I12" s="418" t="s">
        <v>87</v>
      </c>
    </row>
    <row r="13" spans="1:201" ht="12.75">
      <c r="A13" s="294"/>
      <c r="B13" s="96"/>
      <c r="C13" s="96"/>
      <c r="D13" s="96"/>
      <c r="E13" s="96"/>
      <c r="F13" s="96"/>
      <c r="G13" s="96"/>
      <c r="H13" s="128" t="s">
        <v>181</v>
      </c>
      <c r="I13" s="418" t="s">
        <v>182</v>
      </c>
      <c r="GS13" s="99">
        <f>D13</f>
        <v>0</v>
      </c>
    </row>
    <row r="14" spans="1:200" ht="12.75" customHeight="1">
      <c r="A14" s="296" t="s">
        <v>183</v>
      </c>
      <c r="B14" s="489" t="s">
        <v>184</v>
      </c>
      <c r="C14" s="489"/>
      <c r="D14" s="489"/>
      <c r="E14" s="129"/>
      <c r="F14" s="129"/>
      <c r="G14" s="129"/>
      <c r="H14" s="293" t="s">
        <v>185</v>
      </c>
      <c r="I14" s="419" t="s">
        <v>186</v>
      </c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</row>
    <row r="15" spans="1:9" ht="12.75">
      <c r="A15" s="294" t="s">
        <v>448</v>
      </c>
      <c r="B15" s="290"/>
      <c r="C15" s="289"/>
      <c r="D15" s="289"/>
      <c r="E15" s="100"/>
      <c r="F15" s="100"/>
      <c r="G15" s="100"/>
      <c r="H15" s="295"/>
      <c r="I15" s="418"/>
    </row>
    <row r="16" spans="1:9" ht="13.5" thickBot="1">
      <c r="A16" s="294" t="s">
        <v>447</v>
      </c>
      <c r="B16" s="290"/>
      <c r="C16" s="100"/>
      <c r="D16" s="100"/>
      <c r="E16" s="100"/>
      <c r="F16" s="100"/>
      <c r="G16" s="101"/>
      <c r="H16" s="295" t="s">
        <v>187</v>
      </c>
      <c r="I16" s="420" t="s">
        <v>134</v>
      </c>
    </row>
    <row r="17" spans="1:9" ht="15">
      <c r="A17" s="488" t="s">
        <v>188</v>
      </c>
      <c r="B17" s="488"/>
      <c r="C17" s="488"/>
      <c r="D17" s="488"/>
      <c r="E17" s="488"/>
      <c r="F17" s="488"/>
      <c r="G17" s="488"/>
      <c r="H17" s="488"/>
      <c r="I17" s="102"/>
    </row>
    <row r="18" spans="1:16" ht="7.5" customHeight="1" thickBot="1">
      <c r="A18" s="35"/>
      <c r="B18" s="35"/>
      <c r="C18" s="35"/>
      <c r="D18" s="36"/>
      <c r="E18" s="37"/>
      <c r="F18" s="84"/>
      <c r="G18" s="84"/>
      <c r="H18" s="37"/>
      <c r="I18" s="37"/>
      <c r="J18" s="38"/>
      <c r="K18" s="32"/>
      <c r="L18" s="32"/>
      <c r="M18" s="32"/>
      <c r="N18" s="32"/>
      <c r="O18" s="32"/>
      <c r="P18" s="32"/>
    </row>
    <row r="19" spans="1:16" ht="13.5" customHeight="1" thickBot="1">
      <c r="A19" s="18"/>
      <c r="B19" s="433" t="s">
        <v>28</v>
      </c>
      <c r="C19" s="19" t="s">
        <v>454</v>
      </c>
      <c r="D19" s="77" t="s">
        <v>455</v>
      </c>
      <c r="E19" s="54"/>
      <c r="F19" s="85" t="s">
        <v>7</v>
      </c>
      <c r="G19" s="86"/>
      <c r="H19" s="53"/>
      <c r="I19" s="55" t="s">
        <v>2</v>
      </c>
      <c r="J19" s="32"/>
      <c r="K19" s="32"/>
      <c r="L19" s="32"/>
      <c r="M19" s="32"/>
      <c r="N19" s="32"/>
      <c r="O19" s="32"/>
      <c r="P19" s="32"/>
    </row>
    <row r="20" spans="1:16" ht="9.75" customHeight="1">
      <c r="A20" s="20" t="s">
        <v>5</v>
      </c>
      <c r="B20" s="434" t="s">
        <v>192</v>
      </c>
      <c r="C20" s="20" t="s">
        <v>452</v>
      </c>
      <c r="D20" s="103" t="s">
        <v>456</v>
      </c>
      <c r="E20" s="77" t="s">
        <v>37</v>
      </c>
      <c r="F20" s="87" t="s">
        <v>8</v>
      </c>
      <c r="G20" s="432" t="s">
        <v>190</v>
      </c>
      <c r="H20" s="56" t="s">
        <v>13</v>
      </c>
      <c r="I20" s="57" t="s">
        <v>3</v>
      </c>
      <c r="J20" s="32"/>
      <c r="K20" s="32"/>
      <c r="L20" s="32"/>
      <c r="M20" s="32"/>
      <c r="N20" s="32"/>
      <c r="O20" s="32"/>
      <c r="P20" s="32"/>
    </row>
    <row r="21" spans="1:16" ht="9.75" customHeight="1">
      <c r="A21" s="21"/>
      <c r="B21" s="20"/>
      <c r="C21" s="20" t="s">
        <v>453</v>
      </c>
      <c r="D21" s="103" t="s">
        <v>3</v>
      </c>
      <c r="E21" s="103" t="s">
        <v>457</v>
      </c>
      <c r="F21" s="88" t="s">
        <v>9</v>
      </c>
      <c r="G21" s="57" t="s">
        <v>191</v>
      </c>
      <c r="H21" s="56"/>
      <c r="I21" s="57"/>
      <c r="J21" s="32"/>
      <c r="K21" s="32"/>
      <c r="L21" s="32"/>
      <c r="M21" s="32"/>
      <c r="N21" s="32"/>
      <c r="O21" s="32"/>
      <c r="P21" s="32"/>
    </row>
    <row r="22" spans="1:16" ht="9.75" customHeight="1" thickBot="1">
      <c r="A22" s="21"/>
      <c r="B22" s="20"/>
      <c r="C22" s="20"/>
      <c r="D22" s="103"/>
      <c r="E22" s="103" t="s">
        <v>458</v>
      </c>
      <c r="F22" s="88" t="s">
        <v>10</v>
      </c>
      <c r="G22" s="57" t="s">
        <v>12</v>
      </c>
      <c r="H22" s="56"/>
      <c r="I22" s="57"/>
      <c r="J22" s="32"/>
      <c r="K22" s="32"/>
      <c r="L22" s="32"/>
      <c r="M22" s="32"/>
      <c r="N22" s="32"/>
      <c r="O22" s="32"/>
      <c r="P22" s="32"/>
    </row>
    <row r="23" spans="1:16" ht="9.75" customHeight="1" thickBot="1">
      <c r="A23" s="265">
        <v>1</v>
      </c>
      <c r="B23" s="265">
        <v>2</v>
      </c>
      <c r="C23" s="265">
        <v>3</v>
      </c>
      <c r="D23" s="266" t="s">
        <v>0</v>
      </c>
      <c r="E23" s="266" t="s">
        <v>1</v>
      </c>
      <c r="F23" s="267" t="s">
        <v>14</v>
      </c>
      <c r="G23" s="267" t="s">
        <v>15</v>
      </c>
      <c r="H23" s="266" t="s">
        <v>16</v>
      </c>
      <c r="I23" s="266" t="s">
        <v>21</v>
      </c>
      <c r="J23" s="32"/>
      <c r="K23" s="32"/>
      <c r="L23" s="32"/>
      <c r="M23" s="32"/>
      <c r="N23" s="32"/>
      <c r="O23" s="32"/>
      <c r="P23" s="32"/>
    </row>
    <row r="24" spans="1:9" s="81" customFormat="1" ht="12.75" customHeight="1" thickBot="1">
      <c r="A24" s="92" t="s">
        <v>154</v>
      </c>
      <c r="B24" s="126" t="s">
        <v>189</v>
      </c>
      <c r="C24" s="105" t="s">
        <v>133</v>
      </c>
      <c r="D24" s="257">
        <f>D26+D79</f>
        <v>10032536</v>
      </c>
      <c r="E24" s="257">
        <f>E26+E79</f>
        <v>2982237.02</v>
      </c>
      <c r="F24" s="258"/>
      <c r="G24" s="259"/>
      <c r="H24" s="260">
        <f>E24</f>
        <v>2982237.02</v>
      </c>
      <c r="I24" s="441" t="s">
        <v>133</v>
      </c>
    </row>
    <row r="25" spans="1:16" ht="9.75" customHeight="1">
      <c r="A25" s="104" t="s">
        <v>152</v>
      </c>
      <c r="B25" s="78"/>
      <c r="C25" s="80"/>
      <c r="D25" s="214"/>
      <c r="E25" s="214"/>
      <c r="F25" s="215"/>
      <c r="G25" s="216"/>
      <c r="H25" s="217"/>
      <c r="I25" s="218"/>
      <c r="J25" s="32"/>
      <c r="K25" s="32"/>
      <c r="L25" s="32"/>
      <c r="M25" s="32"/>
      <c r="N25" s="32"/>
      <c r="O25" s="32"/>
      <c r="P25" s="32"/>
    </row>
    <row r="26" spans="1:16" ht="15.75" customHeight="1">
      <c r="A26" s="79" t="s">
        <v>153</v>
      </c>
      <c r="B26" s="116"/>
      <c r="C26" s="106" t="s">
        <v>197</v>
      </c>
      <c r="D26" s="219">
        <f>D27+D39+D41+D53+D54+D63+D66+D70+D73</f>
        <v>7772536</v>
      </c>
      <c r="E26" s="219">
        <f>E27+E39+E41+E53+E54+E63+E66+E70+E73</f>
        <v>2042170.42</v>
      </c>
      <c r="F26" s="220"/>
      <c r="G26" s="221"/>
      <c r="H26" s="222">
        <f>E26</f>
        <v>2042170.42</v>
      </c>
      <c r="I26" s="223">
        <f>I27+I39+I41+I53+I54+I63+I66+I70+I73</f>
        <v>5747148.11</v>
      </c>
      <c r="J26" s="32"/>
      <c r="K26" s="32"/>
      <c r="L26" s="32"/>
      <c r="M26" s="32"/>
      <c r="N26" s="32"/>
      <c r="O26" s="32"/>
      <c r="P26" s="32"/>
    </row>
    <row r="27" spans="1:16" ht="15.75" customHeight="1">
      <c r="A27" s="91" t="s">
        <v>52</v>
      </c>
      <c r="B27" s="117"/>
      <c r="C27" s="107" t="s">
        <v>198</v>
      </c>
      <c r="D27" s="224">
        <f>D28</f>
        <v>1905000</v>
      </c>
      <c r="E27" s="224">
        <f>E28</f>
        <v>1376503.8699999999</v>
      </c>
      <c r="F27" s="225"/>
      <c r="G27" s="226"/>
      <c r="H27" s="227">
        <f aca="true" t="shared" si="0" ref="H27:H91">E27</f>
        <v>1376503.8699999999</v>
      </c>
      <c r="I27" s="436">
        <f>I28</f>
        <v>529583.8000000002</v>
      </c>
      <c r="J27" s="32"/>
      <c r="K27" s="32"/>
      <c r="L27" s="32"/>
      <c r="M27" s="32"/>
      <c r="N27" s="32"/>
      <c r="O27" s="32"/>
      <c r="P27" s="32"/>
    </row>
    <row r="28" spans="1:16" ht="15.75" customHeight="1">
      <c r="A28" s="65" t="s">
        <v>93</v>
      </c>
      <c r="B28" s="118"/>
      <c r="C28" s="108" t="s">
        <v>199</v>
      </c>
      <c r="D28" s="229">
        <f>D29+D34+D35+D36+D37+D38</f>
        <v>1905000</v>
      </c>
      <c r="E28" s="229">
        <f>E29+E34+E35+E36+E37+E38</f>
        <v>1376503.8699999999</v>
      </c>
      <c r="F28" s="225"/>
      <c r="G28" s="226"/>
      <c r="H28" s="230">
        <f t="shared" si="0"/>
        <v>1376503.8699999999</v>
      </c>
      <c r="I28" s="231">
        <f>I29+I34+I35+I36+I37+I38</f>
        <v>529583.8000000002</v>
      </c>
      <c r="J28" s="32"/>
      <c r="K28" s="32"/>
      <c r="L28" s="32"/>
      <c r="M28" s="32"/>
      <c r="N28" s="32"/>
      <c r="O28" s="32"/>
      <c r="P28" s="32"/>
    </row>
    <row r="29" spans="1:16" ht="57" customHeight="1">
      <c r="A29" s="405" t="s">
        <v>155</v>
      </c>
      <c r="B29" s="406"/>
      <c r="C29" s="407" t="s">
        <v>157</v>
      </c>
      <c r="D29" s="408">
        <f>D30+D31+D32+D33</f>
        <v>185000</v>
      </c>
      <c r="E29" s="408">
        <f>E30+E31+E32+E33</f>
        <v>105484.72</v>
      </c>
      <c r="F29" s="225"/>
      <c r="G29" s="226"/>
      <c r="H29" s="409">
        <f t="shared" si="0"/>
        <v>105484.72</v>
      </c>
      <c r="I29" s="437">
        <f>I30+I31+I32+I33</f>
        <v>80152.95</v>
      </c>
      <c r="J29" s="32"/>
      <c r="K29" s="32"/>
      <c r="L29" s="32"/>
      <c r="M29" s="32"/>
      <c r="N29" s="32"/>
      <c r="O29" s="32"/>
      <c r="P29" s="32"/>
    </row>
    <row r="30" spans="1:16" ht="57" customHeight="1">
      <c r="A30" s="358" t="s">
        <v>497</v>
      </c>
      <c r="B30" s="119"/>
      <c r="C30" s="359" t="s">
        <v>252</v>
      </c>
      <c r="D30" s="232">
        <v>185000</v>
      </c>
      <c r="E30" s="232">
        <f>4783.95+13052.1+28114.4+8970.51+31512.11+18413.98</f>
        <v>104847.05</v>
      </c>
      <c r="F30" s="225"/>
      <c r="G30" s="226"/>
      <c r="H30" s="233">
        <f>E30</f>
        <v>104847.05</v>
      </c>
      <c r="I30" s="435">
        <f>D30-H30</f>
        <v>80152.95</v>
      </c>
      <c r="J30" s="32"/>
      <c r="K30" s="32"/>
      <c r="L30" s="32"/>
      <c r="M30" s="32"/>
      <c r="N30" s="32"/>
      <c r="O30" s="32"/>
      <c r="P30" s="32"/>
    </row>
    <row r="31" spans="1:16" ht="45" customHeight="1">
      <c r="A31" s="358" t="s">
        <v>498</v>
      </c>
      <c r="B31" s="119"/>
      <c r="C31" s="359" t="s">
        <v>251</v>
      </c>
      <c r="D31" s="232">
        <v>0</v>
      </c>
      <c r="E31" s="232">
        <f>64.37+21.95+0+0+220.49+330.86</f>
        <v>637.6700000000001</v>
      </c>
      <c r="F31" s="225"/>
      <c r="G31" s="226"/>
      <c r="H31" s="233">
        <f>E31</f>
        <v>637.6700000000001</v>
      </c>
      <c r="I31" s="225"/>
      <c r="J31" s="32"/>
      <c r="K31" s="32"/>
      <c r="L31" s="32"/>
      <c r="M31" s="32"/>
      <c r="N31" s="32"/>
      <c r="O31" s="32"/>
      <c r="P31" s="32"/>
    </row>
    <row r="32" spans="1:16" ht="57" customHeight="1">
      <c r="A32" s="423" t="s">
        <v>446</v>
      </c>
      <c r="B32" s="119"/>
      <c r="C32" s="110" t="s">
        <v>445</v>
      </c>
      <c r="D32" s="232">
        <v>0</v>
      </c>
      <c r="E32" s="232">
        <v>0</v>
      </c>
      <c r="F32" s="225"/>
      <c r="G32" s="226"/>
      <c r="H32" s="233">
        <f>E32</f>
        <v>0</v>
      </c>
      <c r="I32" s="225"/>
      <c r="J32" s="32"/>
      <c r="K32" s="32"/>
      <c r="L32" s="32"/>
      <c r="M32" s="32"/>
      <c r="N32" s="32"/>
      <c r="O32" s="32"/>
      <c r="P32" s="32"/>
    </row>
    <row r="33" spans="1:16" ht="57" customHeight="1">
      <c r="A33" s="423" t="s">
        <v>499</v>
      </c>
      <c r="B33" s="119"/>
      <c r="C33" s="110" t="s">
        <v>496</v>
      </c>
      <c r="D33" s="232">
        <v>0</v>
      </c>
      <c r="E33" s="232">
        <f>150-150</f>
        <v>0</v>
      </c>
      <c r="F33" s="225"/>
      <c r="G33" s="226"/>
      <c r="H33" s="233">
        <f>E33</f>
        <v>0</v>
      </c>
      <c r="I33" s="225"/>
      <c r="J33" s="32"/>
      <c r="K33" s="32"/>
      <c r="L33" s="32"/>
      <c r="M33" s="32"/>
      <c r="N33" s="32"/>
      <c r="O33" s="32"/>
      <c r="P33" s="32"/>
    </row>
    <row r="34" spans="1:16" ht="57" customHeight="1">
      <c r="A34" s="416" t="s">
        <v>436</v>
      </c>
      <c r="B34" s="406"/>
      <c r="C34" s="407" t="s">
        <v>433</v>
      </c>
      <c r="D34" s="408">
        <v>3000</v>
      </c>
      <c r="E34" s="408">
        <v>102.75</v>
      </c>
      <c r="F34" s="225"/>
      <c r="G34" s="226"/>
      <c r="H34" s="409">
        <f>E34</f>
        <v>102.75</v>
      </c>
      <c r="I34" s="410">
        <f>D34-H34</f>
        <v>2897.25</v>
      </c>
      <c r="J34" s="32"/>
      <c r="K34" s="32"/>
      <c r="L34" s="32"/>
      <c r="M34" s="32"/>
      <c r="N34" s="32"/>
      <c r="O34" s="32"/>
      <c r="P34" s="32"/>
    </row>
    <row r="35" spans="1:16" ht="34.5" customHeight="1">
      <c r="A35" s="405" t="s">
        <v>156</v>
      </c>
      <c r="B35" s="406"/>
      <c r="C35" s="407" t="s">
        <v>500</v>
      </c>
      <c r="D35" s="408">
        <v>9000</v>
      </c>
      <c r="E35" s="408">
        <v>6616.8</v>
      </c>
      <c r="F35" s="225"/>
      <c r="G35" s="226"/>
      <c r="H35" s="409">
        <f t="shared" si="0"/>
        <v>6616.8</v>
      </c>
      <c r="I35" s="410">
        <f>D35-H35</f>
        <v>2383.2</v>
      </c>
      <c r="J35" s="32"/>
      <c r="K35" s="32"/>
      <c r="L35" s="32"/>
      <c r="M35" s="32"/>
      <c r="N35" s="32"/>
      <c r="O35" s="32"/>
      <c r="P35" s="32"/>
    </row>
    <row r="36" spans="1:16" ht="48.75" customHeight="1">
      <c r="A36" s="405" t="s">
        <v>443</v>
      </c>
      <c r="B36" s="406"/>
      <c r="C36" s="407" t="s">
        <v>442</v>
      </c>
      <c r="D36" s="408">
        <v>0</v>
      </c>
      <c r="E36" s="408">
        <v>0</v>
      </c>
      <c r="F36" s="225"/>
      <c r="G36" s="226"/>
      <c r="H36" s="409">
        <f>E36</f>
        <v>0</v>
      </c>
      <c r="I36" s="410"/>
      <c r="J36" s="32"/>
      <c r="K36" s="32"/>
      <c r="L36" s="32"/>
      <c r="M36" s="32"/>
      <c r="N36" s="32"/>
      <c r="O36" s="32"/>
      <c r="P36" s="32"/>
    </row>
    <row r="37" spans="1:16" ht="48.75" customHeight="1">
      <c r="A37" s="405" t="s">
        <v>451</v>
      </c>
      <c r="B37" s="406"/>
      <c r="C37" s="407" t="s">
        <v>450</v>
      </c>
      <c r="D37" s="408">
        <v>0</v>
      </c>
      <c r="E37" s="408">
        <f>150+150+150</f>
        <v>450</v>
      </c>
      <c r="F37" s="225"/>
      <c r="G37" s="226"/>
      <c r="H37" s="409">
        <f>E37</f>
        <v>450</v>
      </c>
      <c r="I37" s="410"/>
      <c r="J37" s="32"/>
      <c r="K37" s="32"/>
      <c r="L37" s="32"/>
      <c r="M37" s="32"/>
      <c r="N37" s="32"/>
      <c r="O37" s="32"/>
      <c r="P37" s="32"/>
    </row>
    <row r="38" spans="1:16" ht="69.75" customHeight="1">
      <c r="A38" s="405" t="s">
        <v>250</v>
      </c>
      <c r="B38" s="406"/>
      <c r="C38" s="407" t="s">
        <v>422</v>
      </c>
      <c r="D38" s="408">
        <v>1708000</v>
      </c>
      <c r="E38" s="408">
        <f>23370+28978.8+191634+347745.6+593598+78523.2</f>
        <v>1263849.5999999999</v>
      </c>
      <c r="F38" s="225"/>
      <c r="G38" s="226"/>
      <c r="H38" s="409">
        <f t="shared" si="0"/>
        <v>1263849.5999999999</v>
      </c>
      <c r="I38" s="410">
        <f>D38-H38</f>
        <v>444150.40000000014</v>
      </c>
      <c r="J38" s="32"/>
      <c r="K38" s="32"/>
      <c r="L38" s="32"/>
      <c r="M38" s="32"/>
      <c r="N38" s="32"/>
      <c r="O38" s="32"/>
      <c r="P38" s="32"/>
    </row>
    <row r="39" spans="1:16" ht="15.75" customHeight="1">
      <c r="A39" s="91" t="s">
        <v>94</v>
      </c>
      <c r="B39" s="117"/>
      <c r="C39" s="107" t="s">
        <v>200</v>
      </c>
      <c r="D39" s="224">
        <f>D40</f>
        <v>0</v>
      </c>
      <c r="E39" s="224">
        <f>E40</f>
        <v>0</v>
      </c>
      <c r="F39" s="225"/>
      <c r="G39" s="226"/>
      <c r="H39" s="227">
        <f t="shared" si="0"/>
        <v>0</v>
      </c>
      <c r="I39" s="228">
        <f>I40</f>
        <v>0</v>
      </c>
      <c r="J39" s="32"/>
      <c r="K39" s="32"/>
      <c r="L39" s="32"/>
      <c r="M39" s="32"/>
      <c r="N39" s="32"/>
      <c r="O39" s="32"/>
      <c r="P39" s="32"/>
    </row>
    <row r="40" spans="1:16" ht="15.75" customHeight="1">
      <c r="A40" s="66" t="s">
        <v>95</v>
      </c>
      <c r="B40" s="119"/>
      <c r="C40" s="109" t="s">
        <v>201</v>
      </c>
      <c r="D40" s="232">
        <v>0</v>
      </c>
      <c r="E40" s="232">
        <v>0</v>
      </c>
      <c r="F40" s="225"/>
      <c r="G40" s="226"/>
      <c r="H40" s="233">
        <f t="shared" si="0"/>
        <v>0</v>
      </c>
      <c r="I40" s="225"/>
      <c r="J40" s="32"/>
      <c r="K40" s="32"/>
      <c r="L40" s="32"/>
      <c r="M40" s="32"/>
      <c r="N40" s="32"/>
      <c r="O40" s="32"/>
      <c r="P40" s="32"/>
    </row>
    <row r="41" spans="1:16" ht="15">
      <c r="A41" s="91" t="s">
        <v>53</v>
      </c>
      <c r="B41" s="117"/>
      <c r="C41" s="107" t="s">
        <v>159</v>
      </c>
      <c r="D41" s="224">
        <f>D42+D45</f>
        <v>5865436</v>
      </c>
      <c r="E41" s="224">
        <f>E42+E45</f>
        <v>664739.46</v>
      </c>
      <c r="F41" s="225"/>
      <c r="G41" s="226"/>
      <c r="H41" s="227">
        <f t="shared" si="0"/>
        <v>664739.46</v>
      </c>
      <c r="I41" s="228">
        <f>I42+I45</f>
        <v>5215464.3100000005</v>
      </c>
      <c r="J41" s="32"/>
      <c r="K41" s="32"/>
      <c r="L41" s="32"/>
      <c r="M41" s="32"/>
      <c r="N41" s="32"/>
      <c r="O41" s="32"/>
      <c r="P41" s="32"/>
    </row>
    <row r="42" spans="1:16" ht="15.75" customHeight="1">
      <c r="A42" s="65" t="s">
        <v>54</v>
      </c>
      <c r="B42" s="118"/>
      <c r="C42" s="108" t="s">
        <v>160</v>
      </c>
      <c r="D42" s="229">
        <f>D43+D44</f>
        <v>586436</v>
      </c>
      <c r="E42" s="229">
        <f>E43+E44</f>
        <v>2242.3200000000006</v>
      </c>
      <c r="F42" s="225"/>
      <c r="G42" s="226"/>
      <c r="H42" s="230">
        <f t="shared" si="0"/>
        <v>2242.3200000000006</v>
      </c>
      <c r="I42" s="231">
        <f>I43</f>
        <v>585626.57</v>
      </c>
      <c r="J42" s="32"/>
      <c r="K42" s="32"/>
      <c r="L42" s="32"/>
      <c r="M42" s="32"/>
      <c r="N42" s="32"/>
      <c r="O42" s="32"/>
      <c r="P42" s="32"/>
    </row>
    <row r="43" spans="1:16" ht="35.25" customHeight="1">
      <c r="A43" s="66" t="s">
        <v>158</v>
      </c>
      <c r="B43" s="119"/>
      <c r="C43" s="109" t="s">
        <v>432</v>
      </c>
      <c r="D43" s="232">
        <v>586436</v>
      </c>
      <c r="E43" s="232">
        <f>1409.06-8484.63+1855+1203+4017+810</f>
        <v>809.4300000000003</v>
      </c>
      <c r="F43" s="225"/>
      <c r="G43" s="226"/>
      <c r="H43" s="233">
        <f t="shared" si="0"/>
        <v>809.4300000000003</v>
      </c>
      <c r="I43" s="435">
        <f>D43-H43</f>
        <v>585626.57</v>
      </c>
      <c r="J43" s="32"/>
      <c r="K43" s="32"/>
      <c r="L43" s="32"/>
      <c r="M43" s="32"/>
      <c r="N43" s="32"/>
      <c r="O43" s="32"/>
      <c r="P43" s="32"/>
    </row>
    <row r="44" spans="1:16" ht="35.25" customHeight="1">
      <c r="A44" s="66" t="s">
        <v>254</v>
      </c>
      <c r="B44" s="119"/>
      <c r="C44" s="360" t="s">
        <v>253</v>
      </c>
      <c r="D44" s="232">
        <v>0</v>
      </c>
      <c r="E44" s="232">
        <f>8.67+693.26+41.68+474.14+70.47+144.67</f>
        <v>1432.89</v>
      </c>
      <c r="F44" s="225"/>
      <c r="G44" s="226"/>
      <c r="H44" s="233"/>
      <c r="I44" s="225"/>
      <c r="J44" s="32"/>
      <c r="K44" s="32"/>
      <c r="L44" s="32"/>
      <c r="M44" s="32"/>
      <c r="N44" s="32"/>
      <c r="O44" s="32"/>
      <c r="P44" s="32"/>
    </row>
    <row r="45" spans="1:16" ht="13.5" customHeight="1">
      <c r="A45" s="65" t="s">
        <v>55</v>
      </c>
      <c r="B45" s="118"/>
      <c r="C45" s="108" t="s">
        <v>202</v>
      </c>
      <c r="D45" s="229">
        <f>D46+D50</f>
        <v>5279000</v>
      </c>
      <c r="E45" s="229">
        <f>E46+E50</f>
        <v>662497.14</v>
      </c>
      <c r="F45" s="225"/>
      <c r="G45" s="226"/>
      <c r="H45" s="230">
        <f t="shared" si="0"/>
        <v>662497.14</v>
      </c>
      <c r="I45" s="231">
        <f>I46+I50</f>
        <v>4629837.74</v>
      </c>
      <c r="J45" s="32"/>
      <c r="K45" s="32"/>
      <c r="L45" s="32"/>
      <c r="M45" s="32"/>
      <c r="N45" s="32"/>
      <c r="O45" s="32"/>
      <c r="P45" s="32"/>
    </row>
    <row r="46" spans="1:16" ht="13.5" customHeight="1">
      <c r="A46" s="405" t="s">
        <v>258</v>
      </c>
      <c r="B46" s="406"/>
      <c r="C46" s="407" t="s">
        <v>203</v>
      </c>
      <c r="D46" s="408">
        <f>D47+D48</f>
        <v>4829000</v>
      </c>
      <c r="E46" s="408">
        <f>E47+E48+E49</f>
        <v>495296.76</v>
      </c>
      <c r="F46" s="225"/>
      <c r="G46" s="226"/>
      <c r="H46" s="409">
        <f t="shared" si="0"/>
        <v>495296.76</v>
      </c>
      <c r="I46" s="410">
        <f>I47</f>
        <v>4338288.32</v>
      </c>
      <c r="J46" s="32"/>
      <c r="K46" s="32"/>
      <c r="L46" s="32"/>
      <c r="M46" s="32"/>
      <c r="N46" s="32"/>
      <c r="O46" s="32"/>
      <c r="P46" s="32"/>
    </row>
    <row r="47" spans="1:16" ht="22.5">
      <c r="A47" s="67" t="s">
        <v>256</v>
      </c>
      <c r="B47" s="120"/>
      <c r="C47" s="110" t="s">
        <v>440</v>
      </c>
      <c r="D47" s="234">
        <v>4829000</v>
      </c>
      <c r="E47" s="232">
        <f>23712+5+16963+415710+32687.68+1634</f>
        <v>490711.68</v>
      </c>
      <c r="F47" s="225"/>
      <c r="G47" s="226"/>
      <c r="H47" s="235">
        <f t="shared" si="0"/>
        <v>490711.68</v>
      </c>
      <c r="I47" s="435">
        <f>D47-H47</f>
        <v>4338288.32</v>
      </c>
      <c r="J47" s="32"/>
      <c r="K47" s="32"/>
      <c r="L47" s="32"/>
      <c r="M47" s="32"/>
      <c r="N47" s="32"/>
      <c r="O47" s="32"/>
      <c r="P47" s="32"/>
    </row>
    <row r="48" spans="1:16" ht="35.25" customHeight="1">
      <c r="A48" s="67" t="s">
        <v>255</v>
      </c>
      <c r="B48" s="120"/>
      <c r="C48" s="359" t="s">
        <v>502</v>
      </c>
      <c r="D48" s="234">
        <v>0</v>
      </c>
      <c r="E48" s="234">
        <f>0.1+550+34.98</f>
        <v>585.08</v>
      </c>
      <c r="F48" s="225"/>
      <c r="G48" s="226"/>
      <c r="H48" s="235">
        <f>E48</f>
        <v>585.08</v>
      </c>
      <c r="I48" s="236"/>
      <c r="J48" s="32"/>
      <c r="K48" s="32"/>
      <c r="L48" s="32"/>
      <c r="M48" s="32"/>
      <c r="N48" s="32"/>
      <c r="O48" s="32"/>
      <c r="P48" s="32"/>
    </row>
    <row r="49" spans="1:16" ht="35.25" customHeight="1">
      <c r="A49" s="67" t="s">
        <v>501</v>
      </c>
      <c r="B49" s="120"/>
      <c r="C49" s="359" t="s">
        <v>503</v>
      </c>
      <c r="D49" s="234">
        <v>0</v>
      </c>
      <c r="E49" s="234">
        <v>4000</v>
      </c>
      <c r="F49" s="225"/>
      <c r="G49" s="226"/>
      <c r="H49" s="235"/>
      <c r="I49" s="236"/>
      <c r="J49" s="32"/>
      <c r="K49" s="32"/>
      <c r="L49" s="32"/>
      <c r="M49" s="32"/>
      <c r="N49" s="32"/>
      <c r="O49" s="32"/>
      <c r="P49" s="32"/>
    </row>
    <row r="50" spans="1:16" ht="13.5" customHeight="1">
      <c r="A50" s="405" t="s">
        <v>259</v>
      </c>
      <c r="B50" s="406"/>
      <c r="C50" s="407" t="s">
        <v>204</v>
      </c>
      <c r="D50" s="408">
        <f>D51+D52</f>
        <v>450000</v>
      </c>
      <c r="E50" s="408">
        <f>E51+E52</f>
        <v>167200.38</v>
      </c>
      <c r="F50" s="225"/>
      <c r="G50" s="226"/>
      <c r="H50" s="409">
        <f t="shared" si="0"/>
        <v>167200.38</v>
      </c>
      <c r="I50" s="410">
        <f>I51+I52</f>
        <v>291549.42</v>
      </c>
      <c r="J50" s="440"/>
      <c r="K50" s="32"/>
      <c r="L50" s="32"/>
      <c r="M50" s="32"/>
      <c r="N50" s="32"/>
      <c r="O50" s="32"/>
      <c r="P50" s="32"/>
    </row>
    <row r="51" spans="1:16" ht="26.25" customHeight="1">
      <c r="A51" s="67" t="s">
        <v>161</v>
      </c>
      <c r="B51" s="120"/>
      <c r="C51" s="110" t="s">
        <v>205</v>
      </c>
      <c r="D51" s="234">
        <v>450000</v>
      </c>
      <c r="E51" s="232">
        <f>57212.71+26724.34+25112.35+30089.1+17828.33+1483.75</f>
        <v>158450.58000000002</v>
      </c>
      <c r="F51" s="225"/>
      <c r="G51" s="226"/>
      <c r="H51" s="235">
        <f t="shared" si="0"/>
        <v>158450.58000000002</v>
      </c>
      <c r="I51" s="435">
        <f>D51-H51</f>
        <v>291549.42</v>
      </c>
      <c r="J51" s="32"/>
      <c r="K51" s="32"/>
      <c r="L51" s="32"/>
      <c r="M51" s="32"/>
      <c r="N51" s="32"/>
      <c r="O51" s="32"/>
      <c r="P51" s="32"/>
    </row>
    <row r="52" spans="1:16" ht="35.25" customHeight="1">
      <c r="A52" s="67" t="s">
        <v>260</v>
      </c>
      <c r="B52" s="120"/>
      <c r="C52" s="359" t="s">
        <v>257</v>
      </c>
      <c r="D52" s="234">
        <v>0</v>
      </c>
      <c r="E52" s="232">
        <f>933.86+977.5+1370.27+2347.27+2019.81+1101.09</f>
        <v>8749.8</v>
      </c>
      <c r="F52" s="225"/>
      <c r="G52" s="226"/>
      <c r="H52" s="235">
        <f t="shared" si="0"/>
        <v>8749.8</v>
      </c>
      <c r="I52" s="236"/>
      <c r="J52" s="32"/>
      <c r="K52" s="32"/>
      <c r="L52" s="32"/>
      <c r="M52" s="32"/>
      <c r="N52" s="32"/>
      <c r="O52" s="32"/>
      <c r="P52" s="32"/>
    </row>
    <row r="53" spans="1:16" ht="33.75" customHeight="1" hidden="1">
      <c r="A53" s="91" t="s">
        <v>119</v>
      </c>
      <c r="B53" s="117"/>
      <c r="C53" s="107" t="s">
        <v>261</v>
      </c>
      <c r="D53" s="237">
        <v>0</v>
      </c>
      <c r="E53" s="237">
        <v>0</v>
      </c>
      <c r="F53" s="238"/>
      <c r="G53" s="239"/>
      <c r="H53" s="240">
        <f>E53</f>
        <v>0</v>
      </c>
      <c r="I53" s="241"/>
      <c r="J53" s="32"/>
      <c r="K53" s="32"/>
      <c r="L53" s="32"/>
      <c r="M53" s="32"/>
      <c r="N53" s="32"/>
      <c r="O53" s="32"/>
      <c r="P53" s="32"/>
    </row>
    <row r="54" spans="1:16" ht="25.5" customHeight="1" hidden="1">
      <c r="A54" s="91" t="s">
        <v>96</v>
      </c>
      <c r="B54" s="117"/>
      <c r="C54" s="107" t="s">
        <v>206</v>
      </c>
      <c r="D54" s="237">
        <f>D55+D57+D59+D61+D62</f>
        <v>0</v>
      </c>
      <c r="E54" s="237">
        <f>E55+E57+E59+E61+E62</f>
        <v>0</v>
      </c>
      <c r="F54" s="238"/>
      <c r="G54" s="239"/>
      <c r="H54" s="240">
        <f t="shared" si="0"/>
        <v>0</v>
      </c>
      <c r="I54" s="241"/>
      <c r="J54" s="32"/>
      <c r="K54" s="32"/>
      <c r="L54" s="32"/>
      <c r="M54" s="32"/>
      <c r="N54" s="32"/>
      <c r="O54" s="32"/>
      <c r="P54" s="32"/>
    </row>
    <row r="55" spans="1:16" ht="24.75" customHeight="1" hidden="1">
      <c r="A55" s="405" t="s">
        <v>97</v>
      </c>
      <c r="B55" s="406"/>
      <c r="C55" s="407" t="s">
        <v>207</v>
      </c>
      <c r="D55" s="408">
        <f>D56</f>
        <v>0</v>
      </c>
      <c r="E55" s="408">
        <f>E56</f>
        <v>0</v>
      </c>
      <c r="F55" s="225"/>
      <c r="G55" s="226"/>
      <c r="H55" s="409">
        <f t="shared" si="0"/>
        <v>0</v>
      </c>
      <c r="I55" s="410"/>
      <c r="J55" s="32"/>
      <c r="K55" s="32"/>
      <c r="L55" s="32"/>
      <c r="M55" s="32"/>
      <c r="N55" s="32"/>
      <c r="O55" s="32"/>
      <c r="P55" s="32"/>
    </row>
    <row r="56" spans="1:16" ht="58.5" customHeight="1" hidden="1">
      <c r="A56" s="67" t="s">
        <v>262</v>
      </c>
      <c r="B56" s="120"/>
      <c r="C56" s="110" t="s">
        <v>208</v>
      </c>
      <c r="D56" s="361">
        <v>0</v>
      </c>
      <c r="E56" s="361">
        <v>0</v>
      </c>
      <c r="F56" s="362"/>
      <c r="G56" s="363"/>
      <c r="H56" s="364">
        <f t="shared" si="0"/>
        <v>0</v>
      </c>
      <c r="I56" s="362"/>
      <c r="J56" s="32"/>
      <c r="K56" s="32"/>
      <c r="L56" s="32"/>
      <c r="M56" s="32"/>
      <c r="N56" s="32"/>
      <c r="O56" s="32"/>
      <c r="P56" s="32"/>
    </row>
    <row r="57" spans="1:16" ht="56.25" customHeight="1" hidden="1">
      <c r="A57" s="405" t="s">
        <v>98</v>
      </c>
      <c r="B57" s="406"/>
      <c r="C57" s="407" t="s">
        <v>99</v>
      </c>
      <c r="D57" s="408">
        <f>D58</f>
        <v>0</v>
      </c>
      <c r="E57" s="408">
        <f>E58</f>
        <v>0</v>
      </c>
      <c r="F57" s="225"/>
      <c r="G57" s="226"/>
      <c r="H57" s="409">
        <f t="shared" si="0"/>
        <v>0</v>
      </c>
      <c r="I57" s="410"/>
      <c r="J57" s="32"/>
      <c r="K57" s="32"/>
      <c r="L57" s="32"/>
      <c r="M57" s="32"/>
      <c r="N57" s="32"/>
      <c r="O57" s="32"/>
      <c r="P57" s="32"/>
    </row>
    <row r="58" spans="1:16" ht="67.5" customHeight="1" hidden="1">
      <c r="A58" s="67" t="s">
        <v>100</v>
      </c>
      <c r="B58" s="120"/>
      <c r="C58" s="110" t="s">
        <v>101</v>
      </c>
      <c r="D58" s="234">
        <v>0</v>
      </c>
      <c r="E58" s="234">
        <v>0</v>
      </c>
      <c r="F58" s="225"/>
      <c r="G58" s="226"/>
      <c r="H58" s="235">
        <f t="shared" si="0"/>
        <v>0</v>
      </c>
      <c r="I58" s="236"/>
      <c r="J58" s="32"/>
      <c r="K58" s="32"/>
      <c r="L58" s="32"/>
      <c r="M58" s="32"/>
      <c r="N58" s="32"/>
      <c r="O58" s="32"/>
      <c r="P58" s="32"/>
    </row>
    <row r="59" spans="1:16" ht="48" customHeight="1" hidden="1">
      <c r="A59" s="405" t="s">
        <v>102</v>
      </c>
      <c r="B59" s="406"/>
      <c r="C59" s="407" t="s">
        <v>56</v>
      </c>
      <c r="D59" s="408">
        <f>D60</f>
        <v>0</v>
      </c>
      <c r="E59" s="408">
        <f>E60</f>
        <v>0</v>
      </c>
      <c r="F59" s="225"/>
      <c r="G59" s="226"/>
      <c r="H59" s="409">
        <f t="shared" si="0"/>
        <v>0</v>
      </c>
      <c r="I59" s="410"/>
      <c r="J59" s="32"/>
      <c r="K59" s="32"/>
      <c r="L59" s="32"/>
      <c r="M59" s="32"/>
      <c r="N59" s="32"/>
      <c r="O59" s="32"/>
      <c r="P59" s="32"/>
    </row>
    <row r="60" spans="1:16" ht="56.25" customHeight="1" hidden="1">
      <c r="A60" s="67" t="s">
        <v>103</v>
      </c>
      <c r="B60" s="120"/>
      <c r="C60" s="110" t="s">
        <v>56</v>
      </c>
      <c r="D60" s="234">
        <v>0</v>
      </c>
      <c r="E60" s="234">
        <v>0</v>
      </c>
      <c r="F60" s="225"/>
      <c r="G60" s="226"/>
      <c r="H60" s="235">
        <f t="shared" si="0"/>
        <v>0</v>
      </c>
      <c r="I60" s="236"/>
      <c r="J60" s="32"/>
      <c r="K60" s="32"/>
      <c r="L60" s="32"/>
      <c r="M60" s="32"/>
      <c r="N60" s="32"/>
      <c r="O60" s="32"/>
      <c r="P60" s="32"/>
    </row>
    <row r="61" spans="1:16" ht="35.25" customHeight="1" hidden="1">
      <c r="A61" s="405" t="s">
        <v>263</v>
      </c>
      <c r="B61" s="406"/>
      <c r="C61" s="407" t="s">
        <v>209</v>
      </c>
      <c r="D61" s="408">
        <v>0</v>
      </c>
      <c r="E61" s="408">
        <v>0</v>
      </c>
      <c r="F61" s="225"/>
      <c r="G61" s="226"/>
      <c r="H61" s="409">
        <f t="shared" si="0"/>
        <v>0</v>
      </c>
      <c r="I61" s="410"/>
      <c r="J61" s="32"/>
      <c r="K61" s="32"/>
      <c r="L61" s="32"/>
      <c r="M61" s="32"/>
      <c r="N61" s="32"/>
      <c r="O61" s="32"/>
      <c r="P61" s="32"/>
    </row>
    <row r="62" spans="1:16" ht="35.25" customHeight="1" hidden="1">
      <c r="A62" s="405" t="s">
        <v>264</v>
      </c>
      <c r="B62" s="406"/>
      <c r="C62" s="407" t="s">
        <v>210</v>
      </c>
      <c r="D62" s="408">
        <v>0</v>
      </c>
      <c r="E62" s="408">
        <v>0</v>
      </c>
      <c r="F62" s="225"/>
      <c r="G62" s="226"/>
      <c r="H62" s="409">
        <f t="shared" si="0"/>
        <v>0</v>
      </c>
      <c r="I62" s="410"/>
      <c r="J62" s="32"/>
      <c r="K62" s="32"/>
      <c r="L62" s="32"/>
      <c r="M62" s="32"/>
      <c r="N62" s="32"/>
      <c r="O62" s="32"/>
      <c r="P62" s="32"/>
    </row>
    <row r="63" spans="1:16" ht="24.75" customHeight="1" hidden="1">
      <c r="A63" s="91" t="s">
        <v>162</v>
      </c>
      <c r="B63" s="117"/>
      <c r="C63" s="107" t="s">
        <v>266</v>
      </c>
      <c r="D63" s="224">
        <f>D64+D65</f>
        <v>0</v>
      </c>
      <c r="E63" s="224">
        <f>E64+E65</f>
        <v>0</v>
      </c>
      <c r="F63" s="225"/>
      <c r="G63" s="226"/>
      <c r="H63" s="227">
        <f aca="true" t="shared" si="1" ref="H63:H69">E63</f>
        <v>0</v>
      </c>
      <c r="I63" s="228"/>
      <c r="J63" s="32"/>
      <c r="K63" s="32"/>
      <c r="L63" s="32"/>
      <c r="M63" s="32"/>
      <c r="N63" s="32"/>
      <c r="O63" s="32"/>
      <c r="P63" s="32"/>
    </row>
    <row r="64" spans="1:16" ht="13.5" customHeight="1" hidden="1">
      <c r="A64" s="67" t="s">
        <v>265</v>
      </c>
      <c r="B64" s="120"/>
      <c r="C64" s="110" t="s">
        <v>211</v>
      </c>
      <c r="D64" s="234">
        <v>0</v>
      </c>
      <c r="E64" s="234">
        <v>0</v>
      </c>
      <c r="F64" s="225"/>
      <c r="G64" s="226"/>
      <c r="H64" s="235">
        <f t="shared" si="1"/>
        <v>0</v>
      </c>
      <c r="I64" s="236"/>
      <c r="J64" s="32"/>
      <c r="K64" s="32"/>
      <c r="L64" s="32"/>
      <c r="M64" s="32"/>
      <c r="N64" s="32"/>
      <c r="O64" s="32"/>
      <c r="P64" s="32"/>
    </row>
    <row r="65" spans="1:16" ht="13.5" customHeight="1" hidden="1">
      <c r="A65" s="67" t="s">
        <v>267</v>
      </c>
      <c r="B65" s="120"/>
      <c r="C65" s="110" t="s">
        <v>268</v>
      </c>
      <c r="D65" s="234">
        <v>0</v>
      </c>
      <c r="E65" s="234">
        <v>0</v>
      </c>
      <c r="F65" s="225"/>
      <c r="G65" s="226"/>
      <c r="H65" s="235">
        <f t="shared" si="1"/>
        <v>0</v>
      </c>
      <c r="I65" s="236"/>
      <c r="J65" s="32"/>
      <c r="K65" s="32"/>
      <c r="L65" s="32"/>
      <c r="M65" s="32"/>
      <c r="N65" s="32"/>
      <c r="O65" s="32"/>
      <c r="P65" s="32"/>
    </row>
    <row r="66" spans="1:16" ht="13.5" customHeight="1" hidden="1">
      <c r="A66" s="91" t="s">
        <v>269</v>
      </c>
      <c r="B66" s="117"/>
      <c r="C66" s="107" t="s">
        <v>272</v>
      </c>
      <c r="D66" s="224">
        <f>D67+D68+D69</f>
        <v>0</v>
      </c>
      <c r="E66" s="224">
        <f>E67+E68+E69</f>
        <v>0</v>
      </c>
      <c r="F66" s="225"/>
      <c r="G66" s="226"/>
      <c r="H66" s="227">
        <f t="shared" si="1"/>
        <v>0</v>
      </c>
      <c r="I66" s="228"/>
      <c r="J66" s="32"/>
      <c r="K66" s="32"/>
      <c r="L66" s="32"/>
      <c r="M66" s="32"/>
      <c r="N66" s="32"/>
      <c r="O66" s="32"/>
      <c r="P66" s="32"/>
    </row>
    <row r="67" spans="1:16" ht="33.75" customHeight="1" hidden="1">
      <c r="A67" s="67" t="s">
        <v>270</v>
      </c>
      <c r="B67" s="120"/>
      <c r="C67" s="110" t="s">
        <v>271</v>
      </c>
      <c r="D67" s="234">
        <v>0</v>
      </c>
      <c r="E67" s="234">
        <v>0</v>
      </c>
      <c r="F67" s="225"/>
      <c r="G67" s="226"/>
      <c r="H67" s="235">
        <f t="shared" si="1"/>
        <v>0</v>
      </c>
      <c r="I67" s="236"/>
      <c r="J67" s="32"/>
      <c r="K67" s="32"/>
      <c r="L67" s="32"/>
      <c r="M67" s="32"/>
      <c r="N67" s="32"/>
      <c r="O67" s="32"/>
      <c r="P67" s="32"/>
    </row>
    <row r="68" spans="1:16" ht="39" customHeight="1" hidden="1">
      <c r="A68" s="67" t="s">
        <v>273</v>
      </c>
      <c r="B68" s="120"/>
      <c r="C68" s="110" t="s">
        <v>212</v>
      </c>
      <c r="D68" s="234">
        <v>0</v>
      </c>
      <c r="E68" s="234">
        <v>0</v>
      </c>
      <c r="F68" s="225"/>
      <c r="G68" s="226"/>
      <c r="H68" s="235">
        <f t="shared" si="1"/>
        <v>0</v>
      </c>
      <c r="I68" s="236"/>
      <c r="J68" s="32"/>
      <c r="K68" s="32"/>
      <c r="L68" s="32"/>
      <c r="M68" s="32"/>
      <c r="N68" s="32"/>
      <c r="O68" s="32"/>
      <c r="P68" s="32"/>
    </row>
    <row r="69" spans="1:16" ht="23.25" customHeight="1" hidden="1">
      <c r="A69" s="67" t="s">
        <v>274</v>
      </c>
      <c r="B69" s="120"/>
      <c r="C69" s="110" t="s">
        <v>275</v>
      </c>
      <c r="D69" s="234">
        <v>0</v>
      </c>
      <c r="E69" s="234">
        <v>0</v>
      </c>
      <c r="F69" s="225"/>
      <c r="G69" s="226"/>
      <c r="H69" s="235">
        <f t="shared" si="1"/>
        <v>0</v>
      </c>
      <c r="I69" s="250"/>
      <c r="J69" s="32"/>
      <c r="K69" s="32"/>
      <c r="L69" s="32"/>
      <c r="M69" s="32"/>
      <c r="N69" s="32"/>
      <c r="O69" s="32"/>
      <c r="P69" s="32"/>
    </row>
    <row r="70" spans="1:16" ht="15">
      <c r="A70" s="91" t="s">
        <v>104</v>
      </c>
      <c r="B70" s="117"/>
      <c r="C70" s="107" t="s">
        <v>213</v>
      </c>
      <c r="D70" s="224">
        <f>D71+D72</f>
        <v>2100</v>
      </c>
      <c r="E70" s="224">
        <f>E71+E72</f>
        <v>0</v>
      </c>
      <c r="F70" s="225"/>
      <c r="G70" s="226"/>
      <c r="H70" s="227">
        <f t="shared" si="0"/>
        <v>0</v>
      </c>
      <c r="I70" s="228">
        <f>I71+I72</f>
        <v>2100</v>
      </c>
      <c r="J70" s="32"/>
      <c r="K70" s="32"/>
      <c r="L70" s="32"/>
      <c r="M70" s="32"/>
      <c r="N70" s="32"/>
      <c r="O70" s="32"/>
      <c r="P70" s="32"/>
    </row>
    <row r="71" spans="1:16" ht="36.75" customHeight="1">
      <c r="A71" s="66" t="s">
        <v>276</v>
      </c>
      <c r="B71" s="119"/>
      <c r="C71" s="109" t="s">
        <v>444</v>
      </c>
      <c r="D71" s="232">
        <v>2100</v>
      </c>
      <c r="E71" s="232">
        <v>0</v>
      </c>
      <c r="F71" s="225"/>
      <c r="G71" s="226"/>
      <c r="H71" s="233">
        <f>E71</f>
        <v>0</v>
      </c>
      <c r="I71" s="435">
        <f>D71-H71</f>
        <v>2100</v>
      </c>
      <c r="J71" s="32"/>
      <c r="K71" s="32"/>
      <c r="L71" s="32"/>
      <c r="M71" s="32"/>
      <c r="N71" s="32"/>
      <c r="O71" s="32"/>
      <c r="P71" s="32"/>
    </row>
    <row r="72" spans="1:16" ht="48.75" customHeight="1" hidden="1">
      <c r="A72" s="66" t="s">
        <v>163</v>
      </c>
      <c r="B72" s="119"/>
      <c r="C72" s="109" t="s">
        <v>431</v>
      </c>
      <c r="D72" s="232">
        <v>0</v>
      </c>
      <c r="E72" s="232">
        <v>0</v>
      </c>
      <c r="F72" s="225"/>
      <c r="G72" s="226"/>
      <c r="H72" s="233">
        <f>E72</f>
        <v>0</v>
      </c>
      <c r="I72" s="225"/>
      <c r="J72" s="32"/>
      <c r="K72" s="32"/>
      <c r="L72" s="32"/>
      <c r="M72" s="32"/>
      <c r="N72" s="32"/>
      <c r="O72" s="32"/>
      <c r="P72" s="32"/>
    </row>
    <row r="73" spans="1:16" ht="15" customHeight="1">
      <c r="A73" s="91" t="s">
        <v>105</v>
      </c>
      <c r="B73" s="117"/>
      <c r="C73" s="107" t="s">
        <v>214</v>
      </c>
      <c r="D73" s="224">
        <f>D74+D76</f>
        <v>0</v>
      </c>
      <c r="E73" s="224">
        <f>E74+E76</f>
        <v>927.09</v>
      </c>
      <c r="F73" s="225"/>
      <c r="G73" s="226"/>
      <c r="H73" s="227">
        <f t="shared" si="0"/>
        <v>927.09</v>
      </c>
      <c r="I73" s="228"/>
      <c r="J73" s="32"/>
      <c r="K73" s="32"/>
      <c r="L73" s="32"/>
      <c r="M73" s="32"/>
      <c r="N73" s="32"/>
      <c r="O73" s="32"/>
      <c r="P73" s="32"/>
    </row>
    <row r="74" spans="1:16" ht="15" customHeight="1" hidden="1">
      <c r="A74" s="65" t="s">
        <v>88</v>
      </c>
      <c r="B74" s="118"/>
      <c r="C74" s="108" t="s">
        <v>215</v>
      </c>
      <c r="D74" s="229">
        <f>D75+D78</f>
        <v>0</v>
      </c>
      <c r="E74" s="229">
        <f>E75+E78</f>
        <v>927.09</v>
      </c>
      <c r="F74" s="225"/>
      <c r="G74" s="226"/>
      <c r="H74" s="230">
        <f t="shared" si="0"/>
        <v>927.09</v>
      </c>
      <c r="I74" s="231"/>
      <c r="J74" s="32"/>
      <c r="K74" s="32"/>
      <c r="L74" s="32"/>
      <c r="M74" s="32"/>
      <c r="N74" s="32"/>
      <c r="O74" s="32"/>
      <c r="P74" s="32"/>
    </row>
    <row r="75" spans="1:16" ht="24.75" customHeight="1" hidden="1">
      <c r="A75" s="66" t="s">
        <v>277</v>
      </c>
      <c r="B75" s="119"/>
      <c r="C75" s="109" t="s">
        <v>216</v>
      </c>
      <c r="D75" s="232">
        <v>0</v>
      </c>
      <c r="E75" s="232">
        <v>0</v>
      </c>
      <c r="F75" s="225"/>
      <c r="G75" s="226"/>
      <c r="H75" s="233">
        <f t="shared" si="0"/>
        <v>0</v>
      </c>
      <c r="I75" s="225"/>
      <c r="J75" s="32"/>
      <c r="K75" s="32"/>
      <c r="L75" s="32"/>
      <c r="M75" s="32"/>
      <c r="N75" s="32"/>
      <c r="O75" s="32"/>
      <c r="P75" s="32"/>
    </row>
    <row r="76" spans="1:16" ht="25.5" customHeight="1" hidden="1">
      <c r="A76" s="65" t="s">
        <v>106</v>
      </c>
      <c r="B76" s="118"/>
      <c r="C76" s="108" t="s">
        <v>424</v>
      </c>
      <c r="D76" s="229">
        <f>D77</f>
        <v>0</v>
      </c>
      <c r="E76" s="229">
        <f>E77</f>
        <v>0</v>
      </c>
      <c r="F76" s="225"/>
      <c r="G76" s="226"/>
      <c r="H76" s="230">
        <f t="shared" si="0"/>
        <v>0</v>
      </c>
      <c r="I76" s="231"/>
      <c r="J76" s="32"/>
      <c r="K76" s="32"/>
      <c r="L76" s="32"/>
      <c r="M76" s="32"/>
      <c r="N76" s="32"/>
      <c r="O76" s="32"/>
      <c r="P76" s="32"/>
    </row>
    <row r="77" spans="1:16" ht="36" customHeight="1" hidden="1">
      <c r="A77" s="66" t="s">
        <v>107</v>
      </c>
      <c r="B77" s="119"/>
      <c r="C77" s="109" t="s">
        <v>423</v>
      </c>
      <c r="D77" s="232">
        <v>0</v>
      </c>
      <c r="E77" s="232">
        <v>0</v>
      </c>
      <c r="F77" s="225"/>
      <c r="G77" s="226"/>
      <c r="H77" s="233">
        <f t="shared" si="0"/>
        <v>0</v>
      </c>
      <c r="I77" s="225"/>
      <c r="J77" s="32"/>
      <c r="K77" s="32"/>
      <c r="L77" s="32"/>
      <c r="M77" s="32"/>
      <c r="N77" s="32"/>
      <c r="O77" s="32"/>
      <c r="P77" s="32"/>
    </row>
    <row r="78" spans="1:16" ht="13.5" customHeight="1">
      <c r="A78" s="66" t="s">
        <v>278</v>
      </c>
      <c r="B78" s="119"/>
      <c r="C78" s="109" t="s">
        <v>279</v>
      </c>
      <c r="D78" s="232">
        <v>0</v>
      </c>
      <c r="E78" s="232">
        <v>927.09</v>
      </c>
      <c r="F78" s="225"/>
      <c r="G78" s="226"/>
      <c r="H78" s="233">
        <f>E78</f>
        <v>927.09</v>
      </c>
      <c r="I78" s="225"/>
      <c r="J78" s="32"/>
      <c r="K78" s="32"/>
      <c r="L78" s="32"/>
      <c r="M78" s="32"/>
      <c r="N78" s="32"/>
      <c r="O78" s="32"/>
      <c r="P78" s="32"/>
    </row>
    <row r="79" spans="1:16" ht="15" customHeight="1">
      <c r="A79" s="64" t="s">
        <v>57</v>
      </c>
      <c r="B79" s="121"/>
      <c r="C79" s="111" t="s">
        <v>217</v>
      </c>
      <c r="D79" s="242">
        <f>D80</f>
        <v>2260000</v>
      </c>
      <c r="E79" s="242">
        <f>E80</f>
        <v>940066.6</v>
      </c>
      <c r="F79" s="225"/>
      <c r="G79" s="226"/>
      <c r="H79" s="222">
        <f t="shared" si="0"/>
        <v>940066.6</v>
      </c>
      <c r="I79" s="243">
        <f>I80</f>
        <v>759100</v>
      </c>
      <c r="J79" s="440"/>
      <c r="K79" s="32"/>
      <c r="L79" s="32"/>
      <c r="M79" s="32"/>
      <c r="N79" s="32"/>
      <c r="O79" s="32"/>
      <c r="P79" s="32"/>
    </row>
    <row r="80" spans="1:16" ht="26.25" customHeight="1">
      <c r="A80" s="365" t="s">
        <v>58</v>
      </c>
      <c r="B80" s="366"/>
      <c r="C80" s="367" t="s">
        <v>218</v>
      </c>
      <c r="D80" s="368">
        <f>D81+D83+D85+D88</f>
        <v>2260000</v>
      </c>
      <c r="E80" s="368">
        <f>E81+E83+E85+E88</f>
        <v>940066.6</v>
      </c>
      <c r="F80" s="225"/>
      <c r="G80" s="226"/>
      <c r="H80" s="240">
        <f t="shared" si="0"/>
        <v>940066.6</v>
      </c>
      <c r="I80" s="369">
        <f>I81+I83+I85+I88</f>
        <v>759100</v>
      </c>
      <c r="J80" s="32"/>
      <c r="K80" s="32"/>
      <c r="L80" s="32"/>
      <c r="M80" s="32"/>
      <c r="N80" s="32"/>
      <c r="O80" s="32"/>
      <c r="P80" s="32"/>
    </row>
    <row r="81" spans="1:16" ht="25.5" customHeight="1">
      <c r="A81" s="65" t="s">
        <v>165</v>
      </c>
      <c r="B81" s="118"/>
      <c r="C81" s="108" t="s">
        <v>428</v>
      </c>
      <c r="D81" s="229">
        <f>D82</f>
        <v>1517000</v>
      </c>
      <c r="E81" s="229">
        <f>E82</f>
        <v>758500</v>
      </c>
      <c r="F81" s="225"/>
      <c r="G81" s="226"/>
      <c r="H81" s="244">
        <f t="shared" si="0"/>
        <v>758500</v>
      </c>
      <c r="I81" s="231">
        <f>I82</f>
        <v>758500</v>
      </c>
      <c r="J81" s="32"/>
      <c r="K81" s="32"/>
      <c r="L81" s="32"/>
      <c r="M81" s="32"/>
      <c r="N81" s="32"/>
      <c r="O81" s="32"/>
      <c r="P81" s="32"/>
    </row>
    <row r="82" spans="1:16" ht="24" customHeight="1">
      <c r="A82" s="67" t="s">
        <v>164</v>
      </c>
      <c r="B82" s="120"/>
      <c r="C82" s="110" t="s">
        <v>427</v>
      </c>
      <c r="D82" s="234">
        <v>1517000</v>
      </c>
      <c r="E82" s="232">
        <f>252833+126417+126417+126416+126417</f>
        <v>758500</v>
      </c>
      <c r="F82" s="225"/>
      <c r="G82" s="226"/>
      <c r="H82" s="245">
        <f t="shared" si="0"/>
        <v>758500</v>
      </c>
      <c r="I82" s="225">
        <f>D82-H82</f>
        <v>758500</v>
      </c>
      <c r="J82" s="82"/>
      <c r="K82" s="32"/>
      <c r="L82" s="32"/>
      <c r="M82" s="32"/>
      <c r="N82" s="32"/>
      <c r="O82" s="32"/>
      <c r="P82" s="32"/>
    </row>
    <row r="83" spans="1:16" ht="22.5">
      <c r="A83" s="68" t="s">
        <v>166</v>
      </c>
      <c r="B83" s="122"/>
      <c r="C83" s="112" t="s">
        <v>281</v>
      </c>
      <c r="D83" s="246">
        <f>D84</f>
        <v>0</v>
      </c>
      <c r="E83" s="246">
        <f>E84</f>
        <v>0</v>
      </c>
      <c r="F83" s="247"/>
      <c r="G83" s="248"/>
      <c r="H83" s="244">
        <f>E83</f>
        <v>0</v>
      </c>
      <c r="I83" s="231"/>
      <c r="J83" s="82"/>
      <c r="K83" s="32"/>
      <c r="L83" s="32"/>
      <c r="M83" s="32"/>
      <c r="N83" s="32"/>
      <c r="O83" s="32"/>
      <c r="P83" s="32"/>
    </row>
    <row r="84" spans="1:16" ht="27.75" customHeight="1">
      <c r="A84" s="66" t="s">
        <v>441</v>
      </c>
      <c r="B84" s="123"/>
      <c r="C84" s="110" t="s">
        <v>280</v>
      </c>
      <c r="D84" s="249">
        <v>0</v>
      </c>
      <c r="E84" s="251">
        <v>0</v>
      </c>
      <c r="F84" s="247"/>
      <c r="G84" s="248"/>
      <c r="H84" s="438"/>
      <c r="I84" s="250"/>
      <c r="J84" s="82"/>
      <c r="K84" s="32"/>
      <c r="L84" s="32"/>
      <c r="M84" s="32"/>
      <c r="N84" s="32"/>
      <c r="O84" s="32"/>
      <c r="P84" s="32"/>
    </row>
    <row r="85" spans="1:16" ht="22.5" customHeight="1">
      <c r="A85" s="65" t="s">
        <v>118</v>
      </c>
      <c r="B85" s="118"/>
      <c r="C85" s="108" t="s">
        <v>282</v>
      </c>
      <c r="D85" s="229">
        <f>D86+D87</f>
        <v>70000</v>
      </c>
      <c r="E85" s="229">
        <f>E86+E87</f>
        <v>69400</v>
      </c>
      <c r="F85" s="225"/>
      <c r="G85" s="226"/>
      <c r="H85" s="231">
        <f>H86+H87</f>
        <v>69400</v>
      </c>
      <c r="I85" s="229">
        <f>I86+I87</f>
        <v>600</v>
      </c>
      <c r="J85" s="82"/>
      <c r="K85" s="32"/>
      <c r="L85" s="32"/>
      <c r="M85" s="32"/>
      <c r="N85" s="32"/>
      <c r="O85" s="32"/>
      <c r="P85" s="32"/>
    </row>
    <row r="86" spans="1:16" s="83" customFormat="1" ht="24" customHeight="1">
      <c r="A86" s="66" t="s">
        <v>168</v>
      </c>
      <c r="B86" s="119"/>
      <c r="C86" s="109" t="s">
        <v>283</v>
      </c>
      <c r="D86" s="251">
        <f>1900+600</f>
        <v>2500</v>
      </c>
      <c r="E86" s="251">
        <f>950+950</f>
        <v>1900</v>
      </c>
      <c r="F86" s="247"/>
      <c r="G86" s="248"/>
      <c r="H86" s="439">
        <f>E86</f>
        <v>1900</v>
      </c>
      <c r="I86" s="247">
        <f>D86-H86</f>
        <v>600</v>
      </c>
      <c r="J86" s="82"/>
      <c r="K86" s="82"/>
      <c r="L86" s="82"/>
      <c r="M86" s="82"/>
      <c r="N86" s="82"/>
      <c r="O86" s="82"/>
      <c r="P86" s="82"/>
    </row>
    <row r="87" spans="1:16" ht="38.25" customHeight="1">
      <c r="A87" s="67" t="s">
        <v>167</v>
      </c>
      <c r="B87" s="120"/>
      <c r="C87" s="110" t="s">
        <v>285</v>
      </c>
      <c r="D87" s="234">
        <v>67500</v>
      </c>
      <c r="E87" s="234">
        <f>16875+50625</f>
        <v>67500</v>
      </c>
      <c r="F87" s="225"/>
      <c r="G87" s="226"/>
      <c r="H87" s="245">
        <f>E87</f>
        <v>67500</v>
      </c>
      <c r="I87" s="247">
        <f>D87-H87</f>
        <v>0</v>
      </c>
      <c r="J87" s="32"/>
      <c r="K87" s="32"/>
      <c r="L87" s="32"/>
      <c r="M87" s="32"/>
      <c r="N87" s="32"/>
      <c r="O87" s="32"/>
      <c r="P87" s="32"/>
    </row>
    <row r="88" spans="1:16" ht="13.5" customHeight="1">
      <c r="A88" s="65" t="s">
        <v>286</v>
      </c>
      <c r="B88" s="118"/>
      <c r="C88" s="108" t="s">
        <v>284</v>
      </c>
      <c r="D88" s="252">
        <f>D89+D90</f>
        <v>673000</v>
      </c>
      <c r="E88" s="252">
        <f>E89+E90</f>
        <v>112166.6</v>
      </c>
      <c r="F88" s="247"/>
      <c r="G88" s="248"/>
      <c r="H88" s="244">
        <f t="shared" si="0"/>
        <v>112166.6</v>
      </c>
      <c r="I88" s="231"/>
      <c r="J88" s="32"/>
      <c r="K88" s="32"/>
      <c r="L88" s="32"/>
      <c r="M88" s="32"/>
      <c r="N88" s="32"/>
      <c r="O88" s="32"/>
      <c r="P88" s="32"/>
    </row>
    <row r="89" spans="1:16" ht="47.25" customHeight="1">
      <c r="A89" s="69" t="s">
        <v>170</v>
      </c>
      <c r="B89" s="124"/>
      <c r="C89" s="113" t="s">
        <v>429</v>
      </c>
      <c r="D89" s="251">
        <v>0</v>
      </c>
      <c r="E89" s="251">
        <v>0</v>
      </c>
      <c r="F89" s="247"/>
      <c r="G89" s="248"/>
      <c r="H89" s="245">
        <f>E89</f>
        <v>0</v>
      </c>
      <c r="I89" s="247"/>
      <c r="J89" s="32"/>
      <c r="K89" s="32"/>
      <c r="L89" s="32"/>
      <c r="M89" s="32"/>
      <c r="N89" s="32"/>
      <c r="O89" s="32"/>
      <c r="P89" s="32"/>
    </row>
    <row r="90" spans="1:16" ht="26.25" customHeight="1">
      <c r="A90" s="66" t="s">
        <v>169</v>
      </c>
      <c r="B90" s="125"/>
      <c r="C90" s="114" t="s">
        <v>430</v>
      </c>
      <c r="D90" s="251">
        <v>673000</v>
      </c>
      <c r="E90" s="251">
        <v>112166.6</v>
      </c>
      <c r="F90" s="247"/>
      <c r="G90" s="248"/>
      <c r="H90" s="245">
        <f>E90</f>
        <v>112166.6</v>
      </c>
      <c r="I90" s="247"/>
      <c r="J90" s="32"/>
      <c r="K90" s="32"/>
      <c r="L90" s="32"/>
      <c r="M90" s="32"/>
      <c r="N90" s="32"/>
      <c r="O90" s="32"/>
      <c r="P90" s="32"/>
    </row>
    <row r="91" spans="1:16" ht="18.75" customHeight="1" thickBot="1">
      <c r="A91" s="131" t="s">
        <v>154</v>
      </c>
      <c r="B91" s="127"/>
      <c r="C91" s="115" t="s">
        <v>219</v>
      </c>
      <c r="D91" s="253">
        <f>D26+D79</f>
        <v>10032536</v>
      </c>
      <c r="E91" s="253">
        <f>E26+E79</f>
        <v>2982237.02</v>
      </c>
      <c r="F91" s="254"/>
      <c r="G91" s="255"/>
      <c r="H91" s="256">
        <f t="shared" si="0"/>
        <v>2982237.02</v>
      </c>
      <c r="I91" s="442" t="s">
        <v>133</v>
      </c>
      <c r="J91" s="32"/>
      <c r="K91" s="32"/>
      <c r="L91" s="32"/>
      <c r="M91" s="32"/>
      <c r="N91" s="32"/>
      <c r="O91" s="32"/>
      <c r="P91" s="32"/>
    </row>
    <row r="92" spans="1:16" ht="15">
      <c r="A92" s="33"/>
      <c r="B92" s="33"/>
      <c r="C92" s="33"/>
      <c r="D92" s="33"/>
      <c r="E92" s="34"/>
      <c r="F92" s="89"/>
      <c r="G92" s="89"/>
      <c r="H92" s="34"/>
      <c r="I92" s="34"/>
      <c r="J92" s="32"/>
      <c r="K92" s="32"/>
      <c r="L92" s="32"/>
      <c r="M92" s="32"/>
      <c r="N92" s="32"/>
      <c r="O92" s="32"/>
      <c r="P92" s="32"/>
    </row>
    <row r="93" ht="12.75">
      <c r="E93" s="39"/>
    </row>
    <row r="94" ht="15">
      <c r="E94" s="40"/>
    </row>
  </sheetData>
  <sheetProtection/>
  <mergeCells count="8">
    <mergeCell ref="A17:H17"/>
    <mergeCell ref="B14:D14"/>
    <mergeCell ref="A2:H2"/>
    <mergeCell ref="A3:H3"/>
    <mergeCell ref="A4:H4"/>
    <mergeCell ref="A5:H5"/>
    <mergeCell ref="A6:H6"/>
    <mergeCell ref="B7:F7"/>
  </mergeCells>
  <printOptions gridLines="1"/>
  <pageMargins left="0.54" right="0.3937007874015748" top="0.43" bottom="0.49" header="0.27" footer="0.23"/>
  <pageSetup horizontalDpi="600" verticalDpi="600" orientation="landscape" pageOrder="overThenDown" paperSize="9" scale="87" r:id="rId1"/>
  <headerFooter alignWithMargins="0">
    <oddHeader>&amp;C&amp;A&amp;RСтраница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218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0.875" style="42" customWidth="1"/>
    <col min="2" max="2" width="29.125" style="42" customWidth="1"/>
    <col min="3" max="3" width="4.125" style="42" customWidth="1"/>
    <col min="4" max="4" width="26.625" style="42" customWidth="1"/>
    <col min="5" max="7" width="14.625" style="42" customWidth="1"/>
    <col min="8" max="9" width="11.375" style="42" customWidth="1"/>
    <col min="10" max="10" width="11.625" style="42" customWidth="1"/>
    <col min="11" max="11" width="11.375" style="42" customWidth="1"/>
    <col min="12" max="12" width="11.625" style="42" customWidth="1"/>
    <col min="13" max="16384" width="9.125" style="42" customWidth="1"/>
  </cols>
  <sheetData>
    <row r="1" ht="11.25">
      <c r="L1" s="43"/>
    </row>
    <row r="2" spans="2:12" ht="12">
      <c r="B2" s="133"/>
      <c r="C2" s="44"/>
      <c r="D2" s="45"/>
      <c r="E2" s="44"/>
      <c r="F2" s="206"/>
      <c r="G2" s="206"/>
      <c r="H2" s="41"/>
      <c r="I2" s="41"/>
      <c r="J2" s="41"/>
      <c r="K2" s="299" t="s">
        <v>130</v>
      </c>
      <c r="L2" s="300"/>
    </row>
    <row r="3" spans="2:12" ht="15" customHeight="1">
      <c r="B3" s="46"/>
      <c r="C3" s="46"/>
      <c r="D3" s="47"/>
      <c r="E3" s="207"/>
      <c r="F3" s="298" t="s">
        <v>230</v>
      </c>
      <c r="G3" s="48"/>
      <c r="H3" s="207"/>
      <c r="I3" s="48"/>
      <c r="J3" s="48"/>
      <c r="K3" s="48"/>
      <c r="L3" s="49"/>
    </row>
    <row r="4" spans="2:12" ht="9.75" customHeight="1" thickBot="1">
      <c r="B4" s="46"/>
      <c r="C4" s="46"/>
      <c r="D4" s="47"/>
      <c r="E4" s="207"/>
      <c r="F4" s="298"/>
      <c r="G4" s="48"/>
      <c r="H4" s="207"/>
      <c r="I4" s="48"/>
      <c r="J4" s="48"/>
      <c r="K4" s="48"/>
      <c r="L4" s="49"/>
    </row>
    <row r="5" spans="2:12" ht="12.75" customHeight="1">
      <c r="B5" s="493" t="s">
        <v>5</v>
      </c>
      <c r="C5" s="467" t="s">
        <v>28</v>
      </c>
      <c r="D5" s="463" t="s">
        <v>17</v>
      </c>
      <c r="E5" s="450" t="s">
        <v>455</v>
      </c>
      <c r="F5" s="450" t="s">
        <v>18</v>
      </c>
      <c r="G5" s="496" t="s">
        <v>7</v>
      </c>
      <c r="H5" s="496"/>
      <c r="I5" s="496"/>
      <c r="J5" s="496"/>
      <c r="K5" s="451" t="s">
        <v>22</v>
      </c>
      <c r="L5" s="452"/>
    </row>
    <row r="6" spans="2:12" ht="13.5" customHeight="1">
      <c r="B6" s="494"/>
      <c r="C6" s="466" t="s">
        <v>29</v>
      </c>
      <c r="D6" s="464" t="s">
        <v>452</v>
      </c>
      <c r="E6" s="449" t="s">
        <v>456</v>
      </c>
      <c r="F6" s="449" t="s">
        <v>19</v>
      </c>
      <c r="G6" s="497"/>
      <c r="H6" s="497"/>
      <c r="I6" s="497"/>
      <c r="J6" s="497"/>
      <c r="K6" s="448" t="s">
        <v>23</v>
      </c>
      <c r="L6" s="453"/>
    </row>
    <row r="7" spans="2:12" ht="12.75" customHeight="1">
      <c r="B7" s="494"/>
      <c r="C7" s="466" t="s">
        <v>30</v>
      </c>
      <c r="D7" s="464" t="s">
        <v>453</v>
      </c>
      <c r="E7" s="449" t="s">
        <v>3</v>
      </c>
      <c r="F7" s="449" t="s">
        <v>20</v>
      </c>
      <c r="G7" s="445" t="s">
        <v>8</v>
      </c>
      <c r="H7" s="447" t="s">
        <v>8</v>
      </c>
      <c r="I7" s="444" t="s">
        <v>11</v>
      </c>
      <c r="J7" s="444"/>
      <c r="K7" s="444" t="s">
        <v>24</v>
      </c>
      <c r="L7" s="454" t="s">
        <v>459</v>
      </c>
    </row>
    <row r="8" spans="2:12" ht="12.75" customHeight="1">
      <c r="B8" s="494"/>
      <c r="C8" s="461"/>
      <c r="D8" s="464"/>
      <c r="E8" s="449"/>
      <c r="F8" s="449"/>
      <c r="G8" s="443" t="s">
        <v>457</v>
      </c>
      <c r="H8" s="446" t="s">
        <v>9</v>
      </c>
      <c r="I8" s="446" t="s">
        <v>12</v>
      </c>
      <c r="J8" s="446" t="s">
        <v>13</v>
      </c>
      <c r="K8" s="446" t="s">
        <v>33</v>
      </c>
      <c r="L8" s="455" t="s">
        <v>19</v>
      </c>
    </row>
    <row r="9" spans="2:12" ht="12.75" customHeight="1" thickBot="1">
      <c r="B9" s="495"/>
      <c r="C9" s="462"/>
      <c r="D9" s="465"/>
      <c r="E9" s="456"/>
      <c r="F9" s="457"/>
      <c r="G9" s="458" t="s">
        <v>458</v>
      </c>
      <c r="H9" s="459" t="s">
        <v>10</v>
      </c>
      <c r="I9" s="459"/>
      <c r="J9" s="459"/>
      <c r="K9" s="459" t="s">
        <v>34</v>
      </c>
      <c r="L9" s="460" t="s">
        <v>20</v>
      </c>
    </row>
    <row r="10" spans="2:12" ht="12" thickBot="1">
      <c r="B10" s="261">
        <v>1</v>
      </c>
      <c r="C10" s="262">
        <v>2</v>
      </c>
      <c r="D10" s="262">
        <v>3</v>
      </c>
      <c r="E10" s="263" t="s">
        <v>0</v>
      </c>
      <c r="F10" s="263" t="s">
        <v>1</v>
      </c>
      <c r="G10" s="263" t="s">
        <v>14</v>
      </c>
      <c r="H10" s="263" t="s">
        <v>15</v>
      </c>
      <c r="I10" s="263" t="s">
        <v>16</v>
      </c>
      <c r="J10" s="263" t="s">
        <v>21</v>
      </c>
      <c r="K10" s="263" t="s">
        <v>25</v>
      </c>
      <c r="L10" s="264" t="s">
        <v>31</v>
      </c>
    </row>
    <row r="11" spans="2:12" s="132" customFormat="1" ht="18" customHeight="1" thickBot="1">
      <c r="B11" s="159" t="s">
        <v>220</v>
      </c>
      <c r="C11" s="186" t="s">
        <v>138</v>
      </c>
      <c r="D11" s="187"/>
      <c r="E11" s="188"/>
      <c r="F11" s="189">
        <f>F13+F65+F70+F83+F96+F141+F159+F196+F199</f>
        <v>10419100</v>
      </c>
      <c r="G11" s="189">
        <f>G13+G65+G70+G83+G96+G141+G159+G196+G199</f>
        <v>2438880.88</v>
      </c>
      <c r="H11" s="188"/>
      <c r="I11" s="188"/>
      <c r="J11" s="189">
        <f aca="true" t="shared" si="0" ref="J11:J29">G11</f>
        <v>2438880.88</v>
      </c>
      <c r="K11" s="188"/>
      <c r="L11" s="190">
        <f aca="true" t="shared" si="1" ref="L11:L32">F11-J11</f>
        <v>7980219.12</v>
      </c>
    </row>
    <row r="12" spans="2:12" ht="15" customHeight="1">
      <c r="B12" s="144"/>
      <c r="C12" s="145"/>
      <c r="D12" s="146" t="s">
        <v>6</v>
      </c>
      <c r="E12" s="147"/>
      <c r="F12" s="148" t="s">
        <v>120</v>
      </c>
      <c r="G12" s="148"/>
      <c r="H12" s="148"/>
      <c r="I12" s="148"/>
      <c r="J12" s="149"/>
      <c r="K12" s="148"/>
      <c r="L12" s="150"/>
    </row>
    <row r="13" spans="2:12" ht="18" customHeight="1" thickBot="1">
      <c r="B13" s="329" t="s">
        <v>70</v>
      </c>
      <c r="C13" s="330"/>
      <c r="D13" s="331" t="s">
        <v>311</v>
      </c>
      <c r="E13" s="332"/>
      <c r="F13" s="333">
        <f>F29+F33+F56+F59+F62</f>
        <v>3137400</v>
      </c>
      <c r="G13" s="333">
        <f>G14+G27</f>
        <v>1267149.01</v>
      </c>
      <c r="H13" s="332"/>
      <c r="I13" s="332"/>
      <c r="J13" s="333">
        <f t="shared" si="0"/>
        <v>1267149.01</v>
      </c>
      <c r="K13" s="334"/>
      <c r="L13" s="335">
        <f t="shared" si="1"/>
        <v>1870250.99</v>
      </c>
    </row>
    <row r="14" spans="2:12" ht="15" customHeight="1">
      <c r="B14" s="301" t="s">
        <v>62</v>
      </c>
      <c r="C14" s="302"/>
      <c r="D14" s="303" t="s">
        <v>312</v>
      </c>
      <c r="E14" s="304"/>
      <c r="F14" s="304">
        <f>F15+F18+F25+F26</f>
        <v>2824000</v>
      </c>
      <c r="G14" s="304">
        <f>G15+G18+G25+G26</f>
        <v>1209309.01</v>
      </c>
      <c r="H14" s="304"/>
      <c r="I14" s="304"/>
      <c r="J14" s="304">
        <f t="shared" si="0"/>
        <v>1209309.01</v>
      </c>
      <c r="K14" s="304"/>
      <c r="L14" s="305">
        <f t="shared" si="1"/>
        <v>1614690.99</v>
      </c>
    </row>
    <row r="15" spans="2:12" ht="15" customHeight="1">
      <c r="B15" s="306" t="s">
        <v>63</v>
      </c>
      <c r="C15" s="199"/>
      <c r="D15" s="307" t="s">
        <v>313</v>
      </c>
      <c r="E15" s="201"/>
      <c r="F15" s="201">
        <f>F16+F17</f>
        <v>2080000</v>
      </c>
      <c r="G15" s="201">
        <f>G16+G17</f>
        <v>933101.36</v>
      </c>
      <c r="H15" s="201"/>
      <c r="I15" s="201"/>
      <c r="J15" s="201">
        <f t="shared" si="0"/>
        <v>933101.36</v>
      </c>
      <c r="K15" s="201"/>
      <c r="L15" s="203">
        <f t="shared" si="1"/>
        <v>1146898.6400000001</v>
      </c>
    </row>
    <row r="16" spans="2:12" ht="15" customHeight="1">
      <c r="B16" s="306" t="s">
        <v>48</v>
      </c>
      <c r="C16" s="199"/>
      <c r="D16" s="307" t="s">
        <v>314</v>
      </c>
      <c r="E16" s="201"/>
      <c r="F16" s="201">
        <f>F31+F37</f>
        <v>1595000</v>
      </c>
      <c r="G16" s="201">
        <f>G31+G37</f>
        <v>703724</v>
      </c>
      <c r="H16" s="201"/>
      <c r="I16" s="201"/>
      <c r="J16" s="201">
        <f>G16</f>
        <v>703724</v>
      </c>
      <c r="K16" s="201"/>
      <c r="L16" s="203">
        <f>F16-J16</f>
        <v>891276</v>
      </c>
    </row>
    <row r="17" spans="2:12" ht="15" customHeight="1">
      <c r="B17" s="306" t="s">
        <v>222</v>
      </c>
      <c r="C17" s="199"/>
      <c r="D17" s="307" t="s">
        <v>315</v>
      </c>
      <c r="E17" s="201"/>
      <c r="F17" s="201">
        <f>F32+F39</f>
        <v>485000</v>
      </c>
      <c r="G17" s="201">
        <f>G32+G39</f>
        <v>229377.36000000002</v>
      </c>
      <c r="H17" s="201"/>
      <c r="I17" s="201"/>
      <c r="J17" s="201">
        <f>G17</f>
        <v>229377.36000000002</v>
      </c>
      <c r="K17" s="201"/>
      <c r="L17" s="203">
        <f>F17-J17</f>
        <v>255622.63999999998</v>
      </c>
    </row>
    <row r="18" spans="2:12" ht="15" customHeight="1">
      <c r="B18" s="326" t="s">
        <v>232</v>
      </c>
      <c r="C18" s="199"/>
      <c r="D18" s="307" t="s">
        <v>316</v>
      </c>
      <c r="E18" s="201"/>
      <c r="F18" s="201">
        <f>SUM(F19:F24)</f>
        <v>545177</v>
      </c>
      <c r="G18" s="201">
        <f>SUM(G19:G24)</f>
        <v>223796.65000000002</v>
      </c>
      <c r="H18" s="201"/>
      <c r="I18" s="201"/>
      <c r="J18" s="201">
        <f t="shared" si="0"/>
        <v>223796.65000000002</v>
      </c>
      <c r="K18" s="201"/>
      <c r="L18" s="203">
        <f t="shared" si="1"/>
        <v>321380.35</v>
      </c>
    </row>
    <row r="19" spans="2:12" ht="15" customHeight="1">
      <c r="B19" s="306" t="s">
        <v>50</v>
      </c>
      <c r="C19" s="199"/>
      <c r="D19" s="307" t="s">
        <v>317</v>
      </c>
      <c r="E19" s="201"/>
      <c r="F19" s="201">
        <f aca="true" t="shared" si="2" ref="F19:G23">F40</f>
        <v>20000</v>
      </c>
      <c r="G19" s="201">
        <f t="shared" si="2"/>
        <v>1611.71</v>
      </c>
      <c r="H19" s="201"/>
      <c r="I19" s="201"/>
      <c r="J19" s="201">
        <f t="shared" si="0"/>
        <v>1611.71</v>
      </c>
      <c r="K19" s="201"/>
      <c r="L19" s="203">
        <f t="shared" si="1"/>
        <v>18388.29</v>
      </c>
    </row>
    <row r="20" spans="2:12" ht="15" customHeight="1">
      <c r="B20" s="306" t="s">
        <v>65</v>
      </c>
      <c r="C20" s="199"/>
      <c r="D20" s="307" t="s">
        <v>318</v>
      </c>
      <c r="E20" s="201"/>
      <c r="F20" s="201">
        <f t="shared" si="2"/>
        <v>6000</v>
      </c>
      <c r="G20" s="201">
        <f t="shared" si="2"/>
        <v>0</v>
      </c>
      <c r="H20" s="201"/>
      <c r="I20" s="201"/>
      <c r="J20" s="201">
        <f t="shared" si="0"/>
        <v>0</v>
      </c>
      <c r="K20" s="201"/>
      <c r="L20" s="203">
        <f t="shared" si="1"/>
        <v>6000</v>
      </c>
    </row>
    <row r="21" spans="2:12" ht="15" customHeight="1">
      <c r="B21" s="306" t="s">
        <v>66</v>
      </c>
      <c r="C21" s="199"/>
      <c r="D21" s="307" t="s">
        <v>319</v>
      </c>
      <c r="E21" s="201"/>
      <c r="F21" s="201">
        <f t="shared" si="2"/>
        <v>0</v>
      </c>
      <c r="G21" s="201">
        <f t="shared" si="2"/>
        <v>0</v>
      </c>
      <c r="H21" s="201"/>
      <c r="I21" s="201"/>
      <c r="J21" s="201">
        <f t="shared" si="0"/>
        <v>0</v>
      </c>
      <c r="K21" s="201"/>
      <c r="L21" s="203">
        <f t="shared" si="1"/>
        <v>0</v>
      </c>
    </row>
    <row r="22" spans="2:12" ht="13.5" customHeight="1">
      <c r="B22" s="306" t="s">
        <v>248</v>
      </c>
      <c r="C22" s="199"/>
      <c r="D22" s="307" t="s">
        <v>320</v>
      </c>
      <c r="E22" s="201"/>
      <c r="F22" s="201">
        <f t="shared" si="2"/>
        <v>0</v>
      </c>
      <c r="G22" s="201">
        <f t="shared" si="2"/>
        <v>0</v>
      </c>
      <c r="H22" s="201"/>
      <c r="I22" s="201"/>
      <c r="J22" s="201">
        <f t="shared" si="0"/>
        <v>0</v>
      </c>
      <c r="K22" s="201"/>
      <c r="L22" s="203">
        <f t="shared" si="1"/>
        <v>0</v>
      </c>
    </row>
    <row r="23" spans="2:12" ht="13.5" customHeight="1">
      <c r="B23" s="306" t="s">
        <v>242</v>
      </c>
      <c r="C23" s="199"/>
      <c r="D23" s="307" t="s">
        <v>321</v>
      </c>
      <c r="E23" s="201"/>
      <c r="F23" s="201">
        <f t="shared" si="2"/>
        <v>140000</v>
      </c>
      <c r="G23" s="201">
        <f t="shared" si="2"/>
        <v>81332</v>
      </c>
      <c r="H23" s="201"/>
      <c r="I23" s="201"/>
      <c r="J23" s="201">
        <f t="shared" si="0"/>
        <v>81332</v>
      </c>
      <c r="K23" s="201"/>
      <c r="L23" s="203">
        <f t="shared" si="1"/>
        <v>58668</v>
      </c>
    </row>
    <row r="24" spans="2:12" ht="15" customHeight="1">
      <c r="B24" s="306" t="s">
        <v>247</v>
      </c>
      <c r="C24" s="199"/>
      <c r="D24" s="307" t="s">
        <v>322</v>
      </c>
      <c r="E24" s="201"/>
      <c r="F24" s="201">
        <f>F45</f>
        <v>379177</v>
      </c>
      <c r="G24" s="201">
        <f>G45</f>
        <v>140852.94</v>
      </c>
      <c r="H24" s="201"/>
      <c r="I24" s="201"/>
      <c r="J24" s="201">
        <f t="shared" si="0"/>
        <v>140852.94</v>
      </c>
      <c r="K24" s="201"/>
      <c r="L24" s="203">
        <f t="shared" si="1"/>
        <v>238324.06</v>
      </c>
    </row>
    <row r="25" spans="2:12" ht="13.5" customHeight="1">
      <c r="B25" s="306" t="s">
        <v>249</v>
      </c>
      <c r="C25" s="199"/>
      <c r="D25" s="307" t="s">
        <v>323</v>
      </c>
      <c r="E25" s="201"/>
      <c r="F25" s="201">
        <f>F58</f>
        <v>48823</v>
      </c>
      <c r="G25" s="201">
        <f>G58</f>
        <v>48823</v>
      </c>
      <c r="H25" s="201"/>
      <c r="I25" s="201"/>
      <c r="J25" s="201">
        <f>G25</f>
        <v>48823</v>
      </c>
      <c r="K25" s="201"/>
      <c r="L25" s="203">
        <f t="shared" si="1"/>
        <v>0</v>
      </c>
    </row>
    <row r="26" spans="2:12" ht="15" customHeight="1">
      <c r="B26" s="306" t="s">
        <v>51</v>
      </c>
      <c r="C26" s="199"/>
      <c r="D26" s="307" t="s">
        <v>324</v>
      </c>
      <c r="E26" s="201"/>
      <c r="F26" s="201">
        <f>F50+F51+F52</f>
        <v>150000</v>
      </c>
      <c r="G26" s="201">
        <f>G50+G51+G52</f>
        <v>3588</v>
      </c>
      <c r="H26" s="201"/>
      <c r="I26" s="201"/>
      <c r="J26" s="201">
        <f t="shared" si="0"/>
        <v>3588</v>
      </c>
      <c r="K26" s="201"/>
      <c r="L26" s="203">
        <f t="shared" si="1"/>
        <v>146412</v>
      </c>
    </row>
    <row r="27" spans="2:12" ht="13.5" customHeight="1" thickBot="1">
      <c r="B27" s="306" t="s">
        <v>68</v>
      </c>
      <c r="C27" s="199"/>
      <c r="D27" s="307" t="s">
        <v>325</v>
      </c>
      <c r="E27" s="201"/>
      <c r="F27" s="201">
        <f>F46+F47+F55</f>
        <v>174300</v>
      </c>
      <c r="G27" s="201">
        <f>G46+G47+G55</f>
        <v>57840</v>
      </c>
      <c r="H27" s="201"/>
      <c r="I27" s="201"/>
      <c r="J27" s="201">
        <f t="shared" si="0"/>
        <v>57840</v>
      </c>
      <c r="K27" s="201"/>
      <c r="L27" s="203">
        <f t="shared" si="1"/>
        <v>116460</v>
      </c>
    </row>
    <row r="28" spans="2:12" ht="15" customHeight="1" thickBot="1">
      <c r="B28" s="144"/>
      <c r="C28" s="145"/>
      <c r="D28" s="146" t="s">
        <v>6</v>
      </c>
      <c r="E28" s="147"/>
      <c r="F28" s="148"/>
      <c r="G28" s="148"/>
      <c r="H28" s="148"/>
      <c r="I28" s="148"/>
      <c r="J28" s="149"/>
      <c r="K28" s="148"/>
      <c r="L28" s="150"/>
    </row>
    <row r="29" spans="2:12" ht="34.5" customHeight="1" thickBot="1">
      <c r="B29" s="315" t="s">
        <v>131</v>
      </c>
      <c r="C29" s="316"/>
      <c r="D29" s="310" t="s">
        <v>326</v>
      </c>
      <c r="E29" s="317"/>
      <c r="F29" s="318">
        <f>F31+F32</f>
        <v>432500</v>
      </c>
      <c r="G29" s="318">
        <f>G31+G32</f>
        <v>0</v>
      </c>
      <c r="H29" s="319"/>
      <c r="I29" s="319"/>
      <c r="J29" s="318">
        <f t="shared" si="0"/>
        <v>0</v>
      </c>
      <c r="K29" s="319"/>
      <c r="L29" s="320">
        <f t="shared" si="1"/>
        <v>432500</v>
      </c>
    </row>
    <row r="30" spans="2:12" ht="15" customHeight="1">
      <c r="B30" s="144"/>
      <c r="C30" s="145"/>
      <c r="D30" s="146" t="s">
        <v>6</v>
      </c>
      <c r="E30" s="147"/>
      <c r="F30" s="148"/>
      <c r="G30" s="148"/>
      <c r="H30" s="148"/>
      <c r="I30" s="148"/>
      <c r="J30" s="149"/>
      <c r="K30" s="148"/>
      <c r="L30" s="150">
        <f t="shared" si="1"/>
        <v>0</v>
      </c>
    </row>
    <row r="31" spans="2:12" ht="15" customHeight="1">
      <c r="B31" s="160" t="s">
        <v>48</v>
      </c>
      <c r="C31" s="192"/>
      <c r="D31" s="141" t="s">
        <v>327</v>
      </c>
      <c r="E31" s="143"/>
      <c r="F31" s="142">
        <f>515000-128750-50000</f>
        <v>336250</v>
      </c>
      <c r="G31" s="142"/>
      <c r="H31" s="143"/>
      <c r="I31" s="143"/>
      <c r="J31" s="143">
        <f>G31</f>
        <v>0</v>
      </c>
      <c r="K31" s="143"/>
      <c r="L31" s="191">
        <f t="shared" si="1"/>
        <v>336250</v>
      </c>
    </row>
    <row r="32" spans="2:12" ht="15" customHeight="1" thickBot="1">
      <c r="B32" s="193" t="s">
        <v>222</v>
      </c>
      <c r="C32" s="194"/>
      <c r="D32" s="208" t="s">
        <v>328</v>
      </c>
      <c r="E32" s="195"/>
      <c r="F32" s="155">
        <f>155000-38750-20000</f>
        <v>96250</v>
      </c>
      <c r="G32" s="155"/>
      <c r="H32" s="195"/>
      <c r="I32" s="195"/>
      <c r="J32" s="195">
        <f>G32</f>
        <v>0</v>
      </c>
      <c r="K32" s="195"/>
      <c r="L32" s="196">
        <f t="shared" si="1"/>
        <v>96250</v>
      </c>
    </row>
    <row r="33" spans="2:12" ht="13.5" customHeight="1" thickBot="1">
      <c r="B33" s="308" t="s">
        <v>61</v>
      </c>
      <c r="C33" s="309"/>
      <c r="D33" s="310" t="s">
        <v>329</v>
      </c>
      <c r="E33" s="311"/>
      <c r="F33" s="312">
        <f>F35+F48+F53</f>
        <v>2516977</v>
      </c>
      <c r="G33" s="312">
        <f>G35+G48+G53</f>
        <v>1218326.01</v>
      </c>
      <c r="H33" s="313"/>
      <c r="I33" s="313"/>
      <c r="J33" s="312">
        <f>G33</f>
        <v>1218326.01</v>
      </c>
      <c r="K33" s="313"/>
      <c r="L33" s="314">
        <f aca="true" t="shared" si="3" ref="L33:L58">F33-J33</f>
        <v>1298650.99</v>
      </c>
    </row>
    <row r="34" spans="2:12" ht="14.25" customHeight="1">
      <c r="B34" s="151"/>
      <c r="C34" s="135"/>
      <c r="D34" s="137" t="s">
        <v>121</v>
      </c>
      <c r="E34" s="139"/>
      <c r="F34" s="139"/>
      <c r="G34" s="139"/>
      <c r="H34" s="139"/>
      <c r="I34" s="139"/>
      <c r="J34" s="139"/>
      <c r="K34" s="139"/>
      <c r="L34" s="152"/>
    </row>
    <row r="35" spans="2:12" ht="13.5" customHeight="1">
      <c r="B35" s="198" t="s">
        <v>229</v>
      </c>
      <c r="C35" s="199"/>
      <c r="D35" s="402" t="s">
        <v>330</v>
      </c>
      <c r="E35" s="201"/>
      <c r="F35" s="204">
        <f>SUM(F37:F47)</f>
        <v>2364477</v>
      </c>
      <c r="G35" s="204">
        <f>SUM(G37:G47)</f>
        <v>1214738.01</v>
      </c>
      <c r="H35" s="204"/>
      <c r="I35" s="204"/>
      <c r="J35" s="204">
        <f>G35</f>
        <v>1214738.01</v>
      </c>
      <c r="K35" s="201"/>
      <c r="L35" s="203">
        <f>F35-G35</f>
        <v>1149738.99</v>
      </c>
    </row>
    <row r="36" spans="2:12" ht="14.25" customHeight="1">
      <c r="B36" s="151"/>
      <c r="C36" s="135"/>
      <c r="D36" s="137" t="s">
        <v>121</v>
      </c>
      <c r="E36" s="139"/>
      <c r="F36" s="139"/>
      <c r="G36" s="139"/>
      <c r="H36" s="139"/>
      <c r="I36" s="139"/>
      <c r="J36" s="139"/>
      <c r="K36" s="139"/>
      <c r="L36" s="152"/>
    </row>
    <row r="37" spans="2:12" ht="15" customHeight="1">
      <c r="B37" s="151" t="s">
        <v>48</v>
      </c>
      <c r="C37" s="135"/>
      <c r="D37" s="141" t="s">
        <v>331</v>
      </c>
      <c r="E37" s="139"/>
      <c r="F37" s="142">
        <f>1090000+118750+50000</f>
        <v>1258750</v>
      </c>
      <c r="G37" s="142">
        <f>41600+105828+235917+109598+40351+170430</f>
        <v>703724</v>
      </c>
      <c r="H37" s="139"/>
      <c r="I37" s="139"/>
      <c r="J37" s="139">
        <f aca="true" t="shared" si="4" ref="J37:J47">G37</f>
        <v>703724</v>
      </c>
      <c r="K37" s="139"/>
      <c r="L37" s="152">
        <f t="shared" si="3"/>
        <v>555026</v>
      </c>
    </row>
    <row r="38" spans="2:12" ht="15" customHeight="1">
      <c r="B38" s="151" t="s">
        <v>49</v>
      </c>
      <c r="C38" s="135"/>
      <c r="D38" s="141" t="s">
        <v>332</v>
      </c>
      <c r="E38" s="139"/>
      <c r="F38" s="142"/>
      <c r="G38" s="142"/>
      <c r="H38" s="139"/>
      <c r="I38" s="139"/>
      <c r="J38" s="139">
        <f t="shared" si="4"/>
        <v>0</v>
      </c>
      <c r="K38" s="139"/>
      <c r="L38" s="152">
        <f t="shared" si="3"/>
        <v>0</v>
      </c>
    </row>
    <row r="39" spans="2:12" ht="15" customHeight="1">
      <c r="B39" s="151" t="s">
        <v>64</v>
      </c>
      <c r="C39" s="135"/>
      <c r="D39" s="141" t="s">
        <v>333</v>
      </c>
      <c r="E39" s="370"/>
      <c r="F39" s="142">
        <f>330000+48750+10000</f>
        <v>388750</v>
      </c>
      <c r="G39" s="425">
        <f>0+34902.57+84689.9+21610.97+20532.33+67641.59</f>
        <v>229377.36000000002</v>
      </c>
      <c r="H39" s="139"/>
      <c r="I39" s="139"/>
      <c r="J39" s="139">
        <f t="shared" si="4"/>
        <v>229377.36000000002</v>
      </c>
      <c r="K39" s="139"/>
      <c r="L39" s="152">
        <f t="shared" si="3"/>
        <v>159372.63999999998</v>
      </c>
    </row>
    <row r="40" spans="2:12" ht="15" customHeight="1">
      <c r="B40" s="151" t="s">
        <v>50</v>
      </c>
      <c r="C40" s="135"/>
      <c r="D40" s="141" t="s">
        <v>317</v>
      </c>
      <c r="E40" s="139"/>
      <c r="F40" s="424">
        <v>20000</v>
      </c>
      <c r="G40" s="502">
        <f>368+10.67+(600+17.33)+(600+15.71)</f>
        <v>1611.71</v>
      </c>
      <c r="H40" s="429"/>
      <c r="I40" s="139"/>
      <c r="J40" s="139">
        <f t="shared" si="4"/>
        <v>1611.71</v>
      </c>
      <c r="K40" s="139"/>
      <c r="L40" s="152">
        <f t="shared" si="3"/>
        <v>18388.29</v>
      </c>
    </row>
    <row r="41" spans="2:12" ht="15" customHeight="1">
      <c r="B41" s="151" t="s">
        <v>65</v>
      </c>
      <c r="C41" s="135"/>
      <c r="D41" s="141" t="s">
        <v>318</v>
      </c>
      <c r="E41" s="139"/>
      <c r="F41" s="142">
        <v>6000</v>
      </c>
      <c r="G41" s="502"/>
      <c r="H41" s="429"/>
      <c r="I41" s="139"/>
      <c r="J41" s="139">
        <f t="shared" si="4"/>
        <v>0</v>
      </c>
      <c r="K41" s="139"/>
      <c r="L41" s="152">
        <f t="shared" si="3"/>
        <v>6000</v>
      </c>
    </row>
    <row r="42" spans="2:12" ht="15" customHeight="1">
      <c r="B42" s="151" t="s">
        <v>66</v>
      </c>
      <c r="C42" s="135"/>
      <c r="D42" s="141" t="s">
        <v>319</v>
      </c>
      <c r="E42" s="139"/>
      <c r="F42" s="142"/>
      <c r="G42" s="502"/>
      <c r="H42" s="429"/>
      <c r="I42" s="139"/>
      <c r="J42" s="139">
        <f t="shared" si="4"/>
        <v>0</v>
      </c>
      <c r="K42" s="139"/>
      <c r="L42" s="152">
        <f t="shared" si="3"/>
        <v>0</v>
      </c>
    </row>
    <row r="43" spans="2:12" ht="22.5" customHeight="1">
      <c r="B43" s="151" t="s">
        <v>248</v>
      </c>
      <c r="C43" s="135"/>
      <c r="D43" s="141" t="s">
        <v>320</v>
      </c>
      <c r="E43" s="139"/>
      <c r="F43" s="142"/>
      <c r="G43" s="503"/>
      <c r="H43" s="429"/>
      <c r="I43" s="139"/>
      <c r="J43" s="139">
        <f t="shared" si="4"/>
        <v>0</v>
      </c>
      <c r="K43" s="139"/>
      <c r="L43" s="152">
        <f t="shared" si="3"/>
        <v>0</v>
      </c>
    </row>
    <row r="44" spans="2:12" ht="13.5" customHeight="1">
      <c r="B44" s="151" t="s">
        <v>242</v>
      </c>
      <c r="C44" s="135"/>
      <c r="D44" s="141" t="s">
        <v>321</v>
      </c>
      <c r="E44" s="139"/>
      <c r="F44" s="142">
        <f>170000+100000-130000</f>
        <v>140000</v>
      </c>
      <c r="G44" s="502">
        <f>0+9500+61880+(9500+452)</f>
        <v>81332</v>
      </c>
      <c r="H44" s="429"/>
      <c r="I44" s="139"/>
      <c r="J44" s="139">
        <f t="shared" si="4"/>
        <v>81332</v>
      </c>
      <c r="K44" s="139"/>
      <c r="L44" s="152">
        <f t="shared" si="3"/>
        <v>58668</v>
      </c>
    </row>
    <row r="45" spans="2:12" ht="15" customHeight="1">
      <c r="B45" s="151" t="s">
        <v>247</v>
      </c>
      <c r="C45" s="135"/>
      <c r="D45" s="141" t="s">
        <v>322</v>
      </c>
      <c r="E45" s="139"/>
      <c r="F45" s="142">
        <f>207400-6223+100000+78000</f>
        <v>379177</v>
      </c>
      <c r="G45" s="502">
        <f>0+7500+(6300+7000+10000)+(20000+4500+5000+1300+3500+2852.94+10000)+(1300+5000+4500)+(39600+12500)</f>
        <v>140852.94</v>
      </c>
      <c r="H45" s="429"/>
      <c r="I45" s="139"/>
      <c r="J45" s="139">
        <f t="shared" si="4"/>
        <v>140852.94</v>
      </c>
      <c r="K45" s="139"/>
      <c r="L45" s="152">
        <f t="shared" si="3"/>
        <v>238324.06</v>
      </c>
    </row>
    <row r="46" spans="2:12" ht="13.5" customHeight="1">
      <c r="B46" s="151" t="s">
        <v>69</v>
      </c>
      <c r="C46" s="135"/>
      <c r="D46" s="141" t="s">
        <v>334</v>
      </c>
      <c r="E46" s="139"/>
      <c r="F46" s="142">
        <f>120000-60000</f>
        <v>60000</v>
      </c>
      <c r="G46" s="502">
        <v>17840</v>
      </c>
      <c r="H46" s="429"/>
      <c r="I46" s="139"/>
      <c r="J46" s="139">
        <f t="shared" si="4"/>
        <v>17840</v>
      </c>
      <c r="K46" s="139"/>
      <c r="L46" s="152">
        <f t="shared" si="3"/>
        <v>42160</v>
      </c>
    </row>
    <row r="47" spans="2:12" ht="16.5" customHeight="1">
      <c r="B47" s="151" t="s">
        <v>228</v>
      </c>
      <c r="C47" s="135"/>
      <c r="D47" s="141" t="s">
        <v>335</v>
      </c>
      <c r="E47" s="139"/>
      <c r="F47" s="142">
        <f>170000-58200</f>
        <v>111800</v>
      </c>
      <c r="G47" s="502">
        <f>0+10000+10000+10000+10000</f>
        <v>40000</v>
      </c>
      <c r="H47" s="429"/>
      <c r="I47" s="139"/>
      <c r="J47" s="139">
        <f t="shared" si="4"/>
        <v>40000</v>
      </c>
      <c r="K47" s="139"/>
      <c r="L47" s="152">
        <f t="shared" si="3"/>
        <v>71800</v>
      </c>
    </row>
    <row r="48" spans="2:12" ht="24" customHeight="1">
      <c r="B48" s="198" t="s">
        <v>234</v>
      </c>
      <c r="C48" s="199"/>
      <c r="D48" s="200" t="s">
        <v>336</v>
      </c>
      <c r="E48" s="201"/>
      <c r="F48" s="204">
        <f>F50+F51+F52</f>
        <v>150000</v>
      </c>
      <c r="G48" s="204">
        <f>G50+G51+G52</f>
        <v>3588</v>
      </c>
      <c r="H48" s="204"/>
      <c r="I48" s="204"/>
      <c r="J48" s="204">
        <f>G48</f>
        <v>3588</v>
      </c>
      <c r="K48" s="201"/>
      <c r="L48" s="203">
        <f>F48-G48</f>
        <v>146412</v>
      </c>
    </row>
    <row r="49" spans="2:12" ht="14.25" customHeight="1">
      <c r="B49" s="151"/>
      <c r="C49" s="135"/>
      <c r="D49" s="137" t="s">
        <v>121</v>
      </c>
      <c r="E49" s="139"/>
      <c r="F49" s="139"/>
      <c r="G49" s="139"/>
      <c r="H49" s="139"/>
      <c r="I49" s="139"/>
      <c r="J49" s="139"/>
      <c r="K49" s="139"/>
      <c r="L49" s="152"/>
    </row>
    <row r="50" spans="2:12" ht="15" customHeight="1">
      <c r="B50" s="151" t="s">
        <v>237</v>
      </c>
      <c r="C50" s="135"/>
      <c r="D50" s="141" t="s">
        <v>434</v>
      </c>
      <c r="E50" s="139"/>
      <c r="F50" s="142">
        <v>6000</v>
      </c>
      <c r="G50" s="142"/>
      <c r="H50" s="139"/>
      <c r="I50" s="139"/>
      <c r="J50" s="139">
        <f>G50</f>
        <v>0</v>
      </c>
      <c r="K50" s="139"/>
      <c r="L50" s="152">
        <f>F50-J50</f>
        <v>6000</v>
      </c>
    </row>
    <row r="51" spans="2:12" ht="15" customHeight="1">
      <c r="B51" s="151" t="s">
        <v>239</v>
      </c>
      <c r="C51" s="135"/>
      <c r="D51" s="141" t="s">
        <v>435</v>
      </c>
      <c r="E51" s="139"/>
      <c r="F51" s="142">
        <f>2000+136200</f>
        <v>138200</v>
      </c>
      <c r="G51" s="142">
        <v>2000</v>
      </c>
      <c r="H51" s="139"/>
      <c r="I51" s="139"/>
      <c r="J51" s="139">
        <f>G51</f>
        <v>2000</v>
      </c>
      <c r="K51" s="139"/>
      <c r="L51" s="152">
        <f>F51-J51</f>
        <v>136200</v>
      </c>
    </row>
    <row r="52" spans="2:12" ht="13.5" customHeight="1">
      <c r="B52" s="151" t="s">
        <v>236</v>
      </c>
      <c r="C52" s="135"/>
      <c r="D52" s="141" t="s">
        <v>337</v>
      </c>
      <c r="E52" s="139"/>
      <c r="F52" s="142">
        <f>20000-2000-12200</f>
        <v>5800</v>
      </c>
      <c r="G52" s="142">
        <f>765+823</f>
        <v>1588</v>
      </c>
      <c r="H52" s="139"/>
      <c r="I52" s="139"/>
      <c r="J52" s="139">
        <f>G52</f>
        <v>1588</v>
      </c>
      <c r="K52" s="139"/>
      <c r="L52" s="152">
        <f>F52-G52</f>
        <v>4212</v>
      </c>
    </row>
    <row r="53" spans="2:12" ht="13.5" customHeight="1">
      <c r="B53" s="198" t="s">
        <v>126</v>
      </c>
      <c r="C53" s="205"/>
      <c r="D53" s="402" t="s">
        <v>338</v>
      </c>
      <c r="E53" s="204"/>
      <c r="F53" s="204">
        <f>F55</f>
        <v>2500</v>
      </c>
      <c r="G53" s="204">
        <f>G55</f>
        <v>0</v>
      </c>
      <c r="H53" s="204"/>
      <c r="I53" s="204"/>
      <c r="J53" s="204">
        <f>G53</f>
        <v>0</v>
      </c>
      <c r="K53" s="204"/>
      <c r="L53" s="203">
        <f>F53-G53</f>
        <v>2500</v>
      </c>
    </row>
    <row r="54" spans="2:12" ht="14.25" customHeight="1">
      <c r="B54" s="151"/>
      <c r="C54" s="135"/>
      <c r="D54" s="137" t="s">
        <v>121</v>
      </c>
      <c r="E54" s="139"/>
      <c r="F54" s="139"/>
      <c r="G54" s="139"/>
      <c r="H54" s="139"/>
      <c r="I54" s="139"/>
      <c r="J54" s="139"/>
      <c r="K54" s="139"/>
      <c r="L54" s="152"/>
    </row>
    <row r="55" spans="2:12" ht="34.5" customHeight="1" thickBot="1">
      <c r="B55" s="151" t="s">
        <v>246</v>
      </c>
      <c r="C55" s="135"/>
      <c r="D55" s="141" t="s">
        <v>339</v>
      </c>
      <c r="E55" s="139"/>
      <c r="F55" s="142">
        <f>1900+600</f>
        <v>2500</v>
      </c>
      <c r="G55" s="142"/>
      <c r="H55" s="139"/>
      <c r="I55" s="139"/>
      <c r="J55" s="139">
        <f>G55</f>
        <v>0</v>
      </c>
      <c r="K55" s="139"/>
      <c r="L55" s="152">
        <f>F55-G55</f>
        <v>2500</v>
      </c>
    </row>
    <row r="56" spans="2:12" ht="24" customHeight="1" thickBot="1">
      <c r="B56" s="308" t="s">
        <v>127</v>
      </c>
      <c r="C56" s="309"/>
      <c r="D56" s="310" t="s">
        <v>340</v>
      </c>
      <c r="E56" s="311"/>
      <c r="F56" s="312">
        <f>F58</f>
        <v>48823</v>
      </c>
      <c r="G56" s="312">
        <f>G58</f>
        <v>48823</v>
      </c>
      <c r="H56" s="313"/>
      <c r="I56" s="313"/>
      <c r="J56" s="312">
        <f>G56</f>
        <v>48823</v>
      </c>
      <c r="K56" s="313"/>
      <c r="L56" s="314">
        <f t="shared" si="3"/>
        <v>0</v>
      </c>
    </row>
    <row r="57" spans="2:12" ht="15" customHeight="1">
      <c r="B57" s="176"/>
      <c r="C57" s="184"/>
      <c r="D57" s="166" t="s">
        <v>6</v>
      </c>
      <c r="E57" s="185"/>
      <c r="F57" s="167"/>
      <c r="G57" s="167"/>
      <c r="H57" s="167"/>
      <c r="I57" s="167"/>
      <c r="J57" s="168"/>
      <c r="K57" s="167"/>
      <c r="L57" s="169">
        <f t="shared" si="3"/>
        <v>0</v>
      </c>
    </row>
    <row r="58" spans="2:12" ht="33.75" customHeight="1" thickBot="1">
      <c r="B58" s="151" t="s">
        <v>231</v>
      </c>
      <c r="C58" s="136"/>
      <c r="D58" s="141" t="s">
        <v>341</v>
      </c>
      <c r="E58" s="138"/>
      <c r="F58" s="142">
        <f>42600+6223</f>
        <v>48823</v>
      </c>
      <c r="G58" s="142">
        <f>0+48823</f>
        <v>48823</v>
      </c>
      <c r="H58" s="139"/>
      <c r="I58" s="139"/>
      <c r="J58" s="139">
        <f>G58</f>
        <v>48823</v>
      </c>
      <c r="K58" s="139"/>
      <c r="L58" s="152">
        <f t="shared" si="3"/>
        <v>0</v>
      </c>
    </row>
    <row r="59" spans="2:12" ht="24" customHeight="1" thickBot="1">
      <c r="B59" s="308" t="s">
        <v>493</v>
      </c>
      <c r="C59" s="309"/>
      <c r="D59" s="310" t="s">
        <v>460</v>
      </c>
      <c r="E59" s="311"/>
      <c r="F59" s="312">
        <f>F61</f>
        <v>109100</v>
      </c>
      <c r="G59" s="312">
        <f>G61</f>
        <v>0</v>
      </c>
      <c r="H59" s="313"/>
      <c r="I59" s="313"/>
      <c r="J59" s="312">
        <f>G59</f>
        <v>0</v>
      </c>
      <c r="K59" s="313"/>
      <c r="L59" s="314">
        <f aca="true" t="shared" si="5" ref="L59:L64">F59-J59</f>
        <v>109100</v>
      </c>
    </row>
    <row r="60" spans="2:12" ht="15" customHeight="1">
      <c r="B60" s="176"/>
      <c r="C60" s="184"/>
      <c r="D60" s="166" t="s">
        <v>6</v>
      </c>
      <c r="E60" s="185"/>
      <c r="F60" s="167"/>
      <c r="G60" s="167"/>
      <c r="H60" s="167"/>
      <c r="I60" s="167"/>
      <c r="J60" s="168"/>
      <c r="K60" s="167"/>
      <c r="L60" s="169">
        <f t="shared" si="5"/>
        <v>0</v>
      </c>
    </row>
    <row r="61" spans="2:12" ht="12" thickBot="1">
      <c r="B61" s="151" t="s">
        <v>243</v>
      </c>
      <c r="C61" s="136"/>
      <c r="D61" s="141" t="s">
        <v>461</v>
      </c>
      <c r="E61" s="138"/>
      <c r="F61" s="142">
        <v>109100</v>
      </c>
      <c r="G61" s="142"/>
      <c r="H61" s="139"/>
      <c r="I61" s="139"/>
      <c r="J61" s="139">
        <f>G61</f>
        <v>0</v>
      </c>
      <c r="K61" s="139"/>
      <c r="L61" s="152">
        <f t="shared" si="5"/>
        <v>109100</v>
      </c>
    </row>
    <row r="62" spans="2:12" ht="24" customHeight="1" thickBot="1">
      <c r="B62" s="308" t="s">
        <v>494</v>
      </c>
      <c r="C62" s="309"/>
      <c r="D62" s="310" t="s">
        <v>462</v>
      </c>
      <c r="E62" s="311"/>
      <c r="F62" s="312">
        <f>F64</f>
        <v>30000</v>
      </c>
      <c r="G62" s="312">
        <f>G64</f>
        <v>0</v>
      </c>
      <c r="H62" s="313"/>
      <c r="I62" s="313"/>
      <c r="J62" s="312">
        <f>G62</f>
        <v>0</v>
      </c>
      <c r="K62" s="313"/>
      <c r="L62" s="314">
        <f t="shared" si="5"/>
        <v>30000</v>
      </c>
    </row>
    <row r="63" spans="2:12" ht="15" customHeight="1">
      <c r="B63" s="176"/>
      <c r="C63" s="184"/>
      <c r="D63" s="166" t="s">
        <v>6</v>
      </c>
      <c r="E63" s="185"/>
      <c r="F63" s="167"/>
      <c r="G63" s="167"/>
      <c r="H63" s="167"/>
      <c r="I63" s="167"/>
      <c r="J63" s="168"/>
      <c r="K63" s="167"/>
      <c r="L63" s="169">
        <f t="shared" si="5"/>
        <v>0</v>
      </c>
    </row>
    <row r="64" spans="2:12" ht="12" thickBot="1">
      <c r="B64" s="170" t="s">
        <v>51</v>
      </c>
      <c r="C64" s="136"/>
      <c r="D64" s="141" t="s">
        <v>463</v>
      </c>
      <c r="E64" s="138"/>
      <c r="F64" s="142">
        <v>30000</v>
      </c>
      <c r="G64" s="142"/>
      <c r="H64" s="139"/>
      <c r="I64" s="139"/>
      <c r="J64" s="139">
        <f>G64</f>
        <v>0</v>
      </c>
      <c r="K64" s="139"/>
      <c r="L64" s="152">
        <f t="shared" si="5"/>
        <v>30000</v>
      </c>
    </row>
    <row r="65" spans="2:12" ht="24" customHeight="1" thickBot="1">
      <c r="B65" s="336" t="s">
        <v>109</v>
      </c>
      <c r="C65" s="337"/>
      <c r="D65" s="338" t="s">
        <v>344</v>
      </c>
      <c r="E65" s="339"/>
      <c r="F65" s="339">
        <f>F67+F68+F69</f>
        <v>67500</v>
      </c>
      <c r="G65" s="339">
        <f>G67+G68</f>
        <v>21895.6</v>
      </c>
      <c r="H65" s="339"/>
      <c r="I65" s="339"/>
      <c r="J65" s="339">
        <f>G65</f>
        <v>21895.6</v>
      </c>
      <c r="K65" s="339"/>
      <c r="L65" s="340">
        <f aca="true" t="shared" si="6" ref="L65:L75">F65-J65</f>
        <v>45604.4</v>
      </c>
    </row>
    <row r="66" spans="2:12" ht="15.75" customHeight="1">
      <c r="B66" s="176"/>
      <c r="C66" s="165"/>
      <c r="D66" s="166" t="s">
        <v>60</v>
      </c>
      <c r="E66" s="167"/>
      <c r="F66" s="167"/>
      <c r="G66" s="167"/>
      <c r="H66" s="167"/>
      <c r="I66" s="167"/>
      <c r="J66" s="167"/>
      <c r="K66" s="167"/>
      <c r="L66" s="169">
        <f t="shared" si="6"/>
        <v>0</v>
      </c>
    </row>
    <row r="67" spans="2:12" ht="15.75" customHeight="1">
      <c r="B67" s="160" t="s">
        <v>48</v>
      </c>
      <c r="C67" s="135"/>
      <c r="D67" s="141" t="s">
        <v>342</v>
      </c>
      <c r="E67" s="139"/>
      <c r="F67" s="142">
        <v>51000</v>
      </c>
      <c r="G67" s="142">
        <f>10440+3380+1400+1980</f>
        <v>17200</v>
      </c>
      <c r="H67" s="139"/>
      <c r="I67" s="139"/>
      <c r="J67" s="139">
        <f aca="true" t="shared" si="7" ref="J67:J73">G67</f>
        <v>17200</v>
      </c>
      <c r="K67" s="139"/>
      <c r="L67" s="152">
        <f t="shared" si="6"/>
        <v>33800</v>
      </c>
    </row>
    <row r="68" spans="2:12" ht="15.75" customHeight="1">
      <c r="B68" s="160" t="s">
        <v>245</v>
      </c>
      <c r="C68" s="135"/>
      <c r="D68" s="141" t="s">
        <v>343</v>
      </c>
      <c r="E68" s="139"/>
      <c r="F68" s="142">
        <v>14194</v>
      </c>
      <c r="G68" s="142">
        <f>2850.12+922.74+922.74</f>
        <v>4695.599999999999</v>
      </c>
      <c r="H68" s="139"/>
      <c r="I68" s="139"/>
      <c r="J68" s="139">
        <f t="shared" si="7"/>
        <v>4695.599999999999</v>
      </c>
      <c r="K68" s="139"/>
      <c r="L68" s="152">
        <f t="shared" si="6"/>
        <v>9498.400000000001</v>
      </c>
    </row>
    <row r="69" spans="2:12" s="49" customFormat="1" ht="12.75" customHeight="1" thickBot="1">
      <c r="B69" s="151" t="s">
        <v>243</v>
      </c>
      <c r="C69" s="171"/>
      <c r="D69" s="175" t="s">
        <v>439</v>
      </c>
      <c r="E69" s="52"/>
      <c r="F69" s="142">
        <v>2306</v>
      </c>
      <c r="G69" s="142"/>
      <c r="H69" s="52"/>
      <c r="I69" s="52"/>
      <c r="J69" s="52">
        <f t="shared" si="7"/>
        <v>0</v>
      </c>
      <c r="K69" s="52"/>
      <c r="L69" s="174">
        <f t="shared" si="6"/>
        <v>2306</v>
      </c>
    </row>
    <row r="70" spans="2:12" ht="24.75" customHeight="1" thickBot="1">
      <c r="B70" s="336" t="s">
        <v>223</v>
      </c>
      <c r="C70" s="341"/>
      <c r="D70" s="342" t="s">
        <v>345</v>
      </c>
      <c r="E70" s="339"/>
      <c r="F70" s="343">
        <f>F71+F74</f>
        <v>480000</v>
      </c>
      <c r="G70" s="343">
        <f>G71+G74</f>
        <v>44962.4</v>
      </c>
      <c r="H70" s="339"/>
      <c r="I70" s="339"/>
      <c r="J70" s="343">
        <f t="shared" si="7"/>
        <v>44962.4</v>
      </c>
      <c r="K70" s="339"/>
      <c r="L70" s="340">
        <f t="shared" si="6"/>
        <v>435037.6</v>
      </c>
    </row>
    <row r="71" spans="2:12" ht="12.75" customHeight="1">
      <c r="B71" s="326" t="s">
        <v>62</v>
      </c>
      <c r="C71" s="302"/>
      <c r="D71" s="327" t="s">
        <v>346</v>
      </c>
      <c r="E71" s="304"/>
      <c r="F71" s="304">
        <f>F72+F73</f>
        <v>200000</v>
      </c>
      <c r="G71" s="304">
        <f>G72+G73</f>
        <v>29972.4</v>
      </c>
      <c r="H71" s="304"/>
      <c r="I71" s="304"/>
      <c r="J71" s="304">
        <f t="shared" si="7"/>
        <v>29972.4</v>
      </c>
      <c r="K71" s="304"/>
      <c r="L71" s="305">
        <f t="shared" si="6"/>
        <v>170027.6</v>
      </c>
    </row>
    <row r="72" spans="2:12" ht="12.75" customHeight="1">
      <c r="B72" s="306" t="s">
        <v>232</v>
      </c>
      <c r="C72" s="199"/>
      <c r="D72" s="328" t="s">
        <v>347</v>
      </c>
      <c r="E72" s="201"/>
      <c r="F72" s="201">
        <f>F78+F79</f>
        <v>200000</v>
      </c>
      <c r="G72" s="201">
        <f>G78+G79</f>
        <v>29972.4</v>
      </c>
      <c r="H72" s="201"/>
      <c r="I72" s="201"/>
      <c r="J72" s="201">
        <f t="shared" si="7"/>
        <v>29972.4</v>
      </c>
      <c r="K72" s="201"/>
      <c r="L72" s="203">
        <f t="shared" si="6"/>
        <v>170027.6</v>
      </c>
    </row>
    <row r="73" spans="2:12" ht="12.75" customHeight="1">
      <c r="B73" s="306" t="s">
        <v>51</v>
      </c>
      <c r="C73" s="199"/>
      <c r="D73" s="328" t="s">
        <v>348</v>
      </c>
      <c r="E73" s="201"/>
      <c r="F73" s="201">
        <f>F80</f>
        <v>0</v>
      </c>
      <c r="G73" s="201">
        <f>G80</f>
        <v>0</v>
      </c>
      <c r="H73" s="201"/>
      <c r="I73" s="201"/>
      <c r="J73" s="201">
        <f t="shared" si="7"/>
        <v>0</v>
      </c>
      <c r="K73" s="201"/>
      <c r="L73" s="203">
        <f t="shared" si="6"/>
        <v>0</v>
      </c>
    </row>
    <row r="74" spans="2:12" ht="12.75" customHeight="1">
      <c r="B74" s="306" t="s">
        <v>68</v>
      </c>
      <c r="C74" s="199"/>
      <c r="D74" s="328" t="s">
        <v>349</v>
      </c>
      <c r="E74" s="201"/>
      <c r="F74" s="201">
        <f>F81+F82</f>
        <v>280000</v>
      </c>
      <c r="G74" s="201">
        <f>G81+G82</f>
        <v>14990</v>
      </c>
      <c r="H74" s="201"/>
      <c r="I74" s="201"/>
      <c r="J74" s="201"/>
      <c r="K74" s="201"/>
      <c r="L74" s="203">
        <f t="shared" si="6"/>
        <v>280000</v>
      </c>
    </row>
    <row r="75" spans="2:12" s="49" customFormat="1" ht="12.75" customHeight="1" thickBot="1">
      <c r="B75" s="151"/>
      <c r="C75" s="135"/>
      <c r="D75" s="134" t="s">
        <v>60</v>
      </c>
      <c r="E75" s="139"/>
      <c r="F75" s="140"/>
      <c r="G75" s="140"/>
      <c r="H75" s="139"/>
      <c r="I75" s="139"/>
      <c r="J75" s="140"/>
      <c r="K75" s="139"/>
      <c r="L75" s="152">
        <f t="shared" si="6"/>
        <v>0</v>
      </c>
    </row>
    <row r="76" spans="2:12" ht="24.75" customHeight="1" thickBot="1">
      <c r="B76" s="308" t="s">
        <v>221</v>
      </c>
      <c r="C76" s="321"/>
      <c r="D76" s="324" t="s">
        <v>355</v>
      </c>
      <c r="E76" s="313"/>
      <c r="F76" s="325">
        <f>SUM(F78:F82)</f>
        <v>480000</v>
      </c>
      <c r="G76" s="325">
        <f>SUM(G78:G82)</f>
        <v>44962.4</v>
      </c>
      <c r="H76" s="313"/>
      <c r="I76" s="313"/>
      <c r="J76" s="325">
        <f>G76</f>
        <v>44962.4</v>
      </c>
      <c r="K76" s="313"/>
      <c r="L76" s="314">
        <f aca="true" t="shared" si="8" ref="L76:L82">F76-J76</f>
        <v>435037.6</v>
      </c>
    </row>
    <row r="77" spans="2:12" s="49" customFormat="1" ht="12.75" customHeight="1">
      <c r="B77" s="151"/>
      <c r="C77" s="135"/>
      <c r="D77" s="134" t="s">
        <v>60</v>
      </c>
      <c r="E77" s="139"/>
      <c r="F77" s="140"/>
      <c r="G77" s="140"/>
      <c r="H77" s="139"/>
      <c r="I77" s="139"/>
      <c r="J77" s="140"/>
      <c r="K77" s="139"/>
      <c r="L77" s="152">
        <f t="shared" si="8"/>
        <v>0</v>
      </c>
    </row>
    <row r="78" spans="2:12" s="49" customFormat="1" ht="12.75" customHeight="1">
      <c r="B78" s="151" t="s">
        <v>65</v>
      </c>
      <c r="C78" s="135"/>
      <c r="D78" s="158" t="s">
        <v>350</v>
      </c>
      <c r="E78" s="139"/>
      <c r="F78" s="142"/>
      <c r="G78" s="142"/>
      <c r="H78" s="429"/>
      <c r="I78" s="429"/>
      <c r="J78" s="139">
        <f aca="true" t="shared" si="9" ref="J78:J85">G78</f>
        <v>0</v>
      </c>
      <c r="K78" s="139"/>
      <c r="L78" s="152">
        <f t="shared" si="8"/>
        <v>0</v>
      </c>
    </row>
    <row r="79" spans="2:12" s="49" customFormat="1" ht="12.75" customHeight="1">
      <c r="B79" s="151" t="s">
        <v>235</v>
      </c>
      <c r="C79" s="135"/>
      <c r="D79" s="158" t="s">
        <v>351</v>
      </c>
      <c r="E79" s="139"/>
      <c r="F79" s="142">
        <f>18000+182000</f>
        <v>200000</v>
      </c>
      <c r="G79" s="142">
        <v>29972.4</v>
      </c>
      <c r="H79" s="429"/>
      <c r="I79" s="429"/>
      <c r="J79" s="139">
        <f t="shared" si="9"/>
        <v>29972.4</v>
      </c>
      <c r="K79" s="139"/>
      <c r="L79" s="152">
        <f t="shared" si="8"/>
        <v>170027.6</v>
      </c>
    </row>
    <row r="80" spans="2:12" s="49" customFormat="1" ht="12.75" customHeight="1">
      <c r="B80" s="151" t="s">
        <v>51</v>
      </c>
      <c r="C80" s="135"/>
      <c r="D80" s="158" t="s">
        <v>352</v>
      </c>
      <c r="E80" s="139"/>
      <c r="F80" s="142"/>
      <c r="G80" s="142"/>
      <c r="H80" s="429"/>
      <c r="I80" s="429"/>
      <c r="J80" s="139">
        <f t="shared" si="9"/>
        <v>0</v>
      </c>
      <c r="K80" s="139"/>
      <c r="L80" s="152">
        <f t="shared" si="8"/>
        <v>0</v>
      </c>
    </row>
    <row r="81" spans="2:12" s="49" customFormat="1" ht="12.75" customHeight="1">
      <c r="B81" s="151" t="s">
        <v>244</v>
      </c>
      <c r="C81" s="135"/>
      <c r="D81" s="158" t="s">
        <v>353</v>
      </c>
      <c r="E81" s="139"/>
      <c r="F81" s="142">
        <f>30000+250000</f>
        <v>280000</v>
      </c>
      <c r="G81" s="142">
        <f>5877+9113</f>
        <v>14990</v>
      </c>
      <c r="H81" s="429"/>
      <c r="I81" s="429"/>
      <c r="J81" s="139">
        <f t="shared" si="9"/>
        <v>14990</v>
      </c>
      <c r="K81" s="139"/>
      <c r="L81" s="152">
        <f t="shared" si="8"/>
        <v>265010</v>
      </c>
    </row>
    <row r="82" spans="2:12" s="49" customFormat="1" ht="12.75" customHeight="1" thickBot="1">
      <c r="B82" s="151" t="s">
        <v>243</v>
      </c>
      <c r="C82" s="171"/>
      <c r="D82" s="175" t="s">
        <v>354</v>
      </c>
      <c r="E82" s="52"/>
      <c r="F82" s="142"/>
      <c r="G82" s="142"/>
      <c r="H82" s="430"/>
      <c r="I82" s="430"/>
      <c r="J82" s="52">
        <f t="shared" si="9"/>
        <v>0</v>
      </c>
      <c r="K82" s="52"/>
      <c r="L82" s="174">
        <f t="shared" si="8"/>
        <v>0</v>
      </c>
    </row>
    <row r="83" spans="2:12" s="49" customFormat="1" ht="12.75" customHeight="1" thickBot="1">
      <c r="B83" s="336" t="s">
        <v>123</v>
      </c>
      <c r="C83" s="341"/>
      <c r="D83" s="342" t="s">
        <v>356</v>
      </c>
      <c r="E83" s="344"/>
      <c r="F83" s="339">
        <f>F88+F92</f>
        <v>1555000</v>
      </c>
      <c r="G83" s="339">
        <f>G88+G92</f>
        <v>60000</v>
      </c>
      <c r="H83" s="334"/>
      <c r="I83" s="334"/>
      <c r="J83" s="343">
        <f t="shared" si="9"/>
        <v>60000</v>
      </c>
      <c r="K83" s="344"/>
      <c r="L83" s="340">
        <f>F83-G83</f>
        <v>1495000</v>
      </c>
    </row>
    <row r="84" spans="2:12" ht="12.75" customHeight="1">
      <c r="B84" s="326" t="s">
        <v>62</v>
      </c>
      <c r="C84" s="302"/>
      <c r="D84" s="327" t="s">
        <v>357</v>
      </c>
      <c r="E84" s="304"/>
      <c r="F84" s="304">
        <f>F85</f>
        <v>855000</v>
      </c>
      <c r="G84" s="304">
        <f>G85</f>
        <v>60000</v>
      </c>
      <c r="H84" s="304"/>
      <c r="I84" s="304"/>
      <c r="J84" s="304">
        <f t="shared" si="9"/>
        <v>60000</v>
      </c>
      <c r="K84" s="304"/>
      <c r="L84" s="305">
        <f>F84-J84</f>
        <v>795000</v>
      </c>
    </row>
    <row r="85" spans="2:12" ht="12.75" customHeight="1">
      <c r="B85" s="306" t="s">
        <v>232</v>
      </c>
      <c r="C85" s="199"/>
      <c r="D85" s="328" t="s">
        <v>358</v>
      </c>
      <c r="E85" s="201"/>
      <c r="F85" s="201">
        <f>F90+F94</f>
        <v>855000</v>
      </c>
      <c r="G85" s="201">
        <f>G90+G94</f>
        <v>60000</v>
      </c>
      <c r="H85" s="201"/>
      <c r="I85" s="201"/>
      <c r="J85" s="201">
        <f t="shared" si="9"/>
        <v>60000</v>
      </c>
      <c r="K85" s="201"/>
      <c r="L85" s="203">
        <f>F85-J85</f>
        <v>795000</v>
      </c>
    </row>
    <row r="86" spans="2:12" ht="12.75" customHeight="1">
      <c r="B86" s="306" t="s">
        <v>51</v>
      </c>
      <c r="C86" s="199"/>
      <c r="D86" s="328" t="s">
        <v>359</v>
      </c>
      <c r="E86" s="201"/>
      <c r="F86" s="201">
        <f>F95</f>
        <v>0</v>
      </c>
      <c r="G86" s="201">
        <f>G95</f>
        <v>0</v>
      </c>
      <c r="H86" s="201"/>
      <c r="I86" s="201"/>
      <c r="J86" s="201">
        <f>G86</f>
        <v>0</v>
      </c>
      <c r="K86" s="201"/>
      <c r="L86" s="203">
        <f>F86-J86</f>
        <v>0</v>
      </c>
    </row>
    <row r="87" spans="2:12" s="49" customFormat="1" ht="12.75" customHeight="1" thickBot="1">
      <c r="B87" s="211"/>
      <c r="C87" s="212"/>
      <c r="D87" s="213" t="s">
        <v>60</v>
      </c>
      <c r="E87" s="179"/>
      <c r="F87" s="179" t="s">
        <v>120</v>
      </c>
      <c r="G87" s="179"/>
      <c r="H87" s="179"/>
      <c r="I87" s="179"/>
      <c r="J87" s="179"/>
      <c r="K87" s="179"/>
      <c r="L87" s="180"/>
    </row>
    <row r="88" spans="2:12" s="49" customFormat="1" ht="12.75" customHeight="1" thickBot="1">
      <c r="B88" s="308" t="s">
        <v>125</v>
      </c>
      <c r="C88" s="321"/>
      <c r="D88" s="324" t="s">
        <v>360</v>
      </c>
      <c r="E88" s="322"/>
      <c r="F88" s="313">
        <f>F90+F91</f>
        <v>1415000</v>
      </c>
      <c r="G88" s="313">
        <f>G90+G91</f>
        <v>60000</v>
      </c>
      <c r="H88" s="313"/>
      <c r="I88" s="313"/>
      <c r="J88" s="313">
        <f>J90+J91</f>
        <v>60000</v>
      </c>
      <c r="K88" s="313"/>
      <c r="L88" s="314">
        <f>F88-G88</f>
        <v>1355000</v>
      </c>
    </row>
    <row r="89" spans="2:12" s="49" customFormat="1" ht="12.75" customHeight="1">
      <c r="B89" s="176"/>
      <c r="C89" s="165"/>
      <c r="D89" s="177" t="s">
        <v>60</v>
      </c>
      <c r="E89" s="167"/>
      <c r="F89" s="167" t="s">
        <v>120</v>
      </c>
      <c r="G89" s="167"/>
      <c r="H89" s="167"/>
      <c r="I89" s="167"/>
      <c r="J89" s="167"/>
      <c r="K89" s="167"/>
      <c r="L89" s="169"/>
    </row>
    <row r="90" spans="2:12" s="49" customFormat="1" ht="12.75" customHeight="1">
      <c r="B90" s="160" t="s">
        <v>242</v>
      </c>
      <c r="C90" s="181"/>
      <c r="D90" s="175" t="s">
        <v>466</v>
      </c>
      <c r="E90" s="182"/>
      <c r="F90" s="173">
        <f>1500000-785000</f>
        <v>715000</v>
      </c>
      <c r="G90" s="173">
        <f>0+18000+42000</f>
        <v>60000</v>
      </c>
      <c r="H90" s="182"/>
      <c r="I90" s="182"/>
      <c r="J90" s="182">
        <f>G90</f>
        <v>60000</v>
      </c>
      <c r="K90" s="182"/>
      <c r="L90" s="183">
        <f>F90-G90</f>
        <v>655000</v>
      </c>
    </row>
    <row r="91" spans="2:12" s="49" customFormat="1" ht="12.75" customHeight="1" thickBot="1">
      <c r="B91" s="161" t="s">
        <v>235</v>
      </c>
      <c r="C91" s="135"/>
      <c r="D91" s="175" t="s">
        <v>504</v>
      </c>
      <c r="E91" s="139"/>
      <c r="F91" s="142">
        <v>700000</v>
      </c>
      <c r="G91" s="142"/>
      <c r="H91" s="139"/>
      <c r="I91" s="139"/>
      <c r="J91" s="139">
        <f>G91</f>
        <v>0</v>
      </c>
      <c r="K91" s="139"/>
      <c r="L91" s="152">
        <f>F91-J91</f>
        <v>700000</v>
      </c>
    </row>
    <row r="92" spans="2:12" s="49" customFormat="1" ht="56.25" customHeight="1" thickBot="1">
      <c r="B92" s="308" t="s">
        <v>224</v>
      </c>
      <c r="C92" s="323"/>
      <c r="D92" s="324" t="s">
        <v>361</v>
      </c>
      <c r="E92" s="313"/>
      <c r="F92" s="313">
        <f>SUM(F94:F95)</f>
        <v>140000</v>
      </c>
      <c r="G92" s="313">
        <f>SUM(G94:G95)</f>
        <v>0</v>
      </c>
      <c r="H92" s="313">
        <v>0</v>
      </c>
      <c r="I92" s="313"/>
      <c r="J92" s="313">
        <f>G92</f>
        <v>0</v>
      </c>
      <c r="K92" s="313"/>
      <c r="L92" s="314">
        <f>F92-J92</f>
        <v>140000</v>
      </c>
    </row>
    <row r="93" spans="2:12" s="49" customFormat="1" ht="12.75" customHeight="1">
      <c r="B93" s="176"/>
      <c r="C93" s="165"/>
      <c r="D93" s="177" t="s">
        <v>60</v>
      </c>
      <c r="E93" s="167"/>
      <c r="F93" s="167" t="s">
        <v>120</v>
      </c>
      <c r="G93" s="167"/>
      <c r="H93" s="167"/>
      <c r="I93" s="167"/>
      <c r="J93" s="167"/>
      <c r="K93" s="167"/>
      <c r="L93" s="169"/>
    </row>
    <row r="94" spans="2:12" s="49" customFormat="1" ht="12.75" customHeight="1">
      <c r="B94" s="161" t="s">
        <v>235</v>
      </c>
      <c r="C94" s="135"/>
      <c r="D94" s="158" t="s">
        <v>467</v>
      </c>
      <c r="E94" s="139"/>
      <c r="F94" s="142">
        <v>140000</v>
      </c>
      <c r="G94" s="142"/>
      <c r="H94" s="139"/>
      <c r="I94" s="139"/>
      <c r="J94" s="139">
        <f>G94</f>
        <v>0</v>
      </c>
      <c r="K94" s="139"/>
      <c r="L94" s="152">
        <f>F94-J94</f>
        <v>140000</v>
      </c>
    </row>
    <row r="95" spans="2:12" s="49" customFormat="1" ht="12.75" customHeight="1" thickBot="1">
      <c r="B95" s="170" t="s">
        <v>51</v>
      </c>
      <c r="C95" s="171"/>
      <c r="D95" s="175" t="s">
        <v>468</v>
      </c>
      <c r="E95" s="52"/>
      <c r="F95" s="173"/>
      <c r="G95" s="173"/>
      <c r="H95" s="52"/>
      <c r="I95" s="52"/>
      <c r="J95" s="52">
        <f>G95</f>
        <v>0</v>
      </c>
      <c r="K95" s="52"/>
      <c r="L95" s="174">
        <f>F95-J95</f>
        <v>0</v>
      </c>
    </row>
    <row r="96" spans="2:12" s="49" customFormat="1" ht="25.5" customHeight="1" thickBot="1">
      <c r="B96" s="336" t="s">
        <v>72</v>
      </c>
      <c r="C96" s="341"/>
      <c r="D96" s="342" t="s">
        <v>362</v>
      </c>
      <c r="E96" s="339"/>
      <c r="F96" s="343">
        <f>F107+F112</f>
        <v>2799200</v>
      </c>
      <c r="G96" s="343">
        <f>G107+G112</f>
        <v>296844.58</v>
      </c>
      <c r="H96" s="339"/>
      <c r="I96" s="339"/>
      <c r="J96" s="343">
        <f aca="true" t="shared" si="10" ref="J96:J101">G96</f>
        <v>296844.58</v>
      </c>
      <c r="K96" s="339"/>
      <c r="L96" s="345">
        <f>F96-J96</f>
        <v>2502355.42</v>
      </c>
    </row>
    <row r="97" spans="2:12" ht="15" customHeight="1">
      <c r="B97" s="326" t="s">
        <v>62</v>
      </c>
      <c r="C97" s="302"/>
      <c r="D97" s="327" t="s">
        <v>363</v>
      </c>
      <c r="E97" s="304"/>
      <c r="F97" s="304">
        <f>F98+F102</f>
        <v>1591000</v>
      </c>
      <c r="G97" s="304">
        <f>G98+G102</f>
        <v>296844.58</v>
      </c>
      <c r="H97" s="304"/>
      <c r="I97" s="304"/>
      <c r="J97" s="304">
        <f t="shared" si="10"/>
        <v>296844.58</v>
      </c>
      <c r="K97" s="304"/>
      <c r="L97" s="305">
        <f>F97-J97</f>
        <v>1294155.42</v>
      </c>
    </row>
    <row r="98" spans="2:12" ht="15" customHeight="1">
      <c r="B98" s="306" t="s">
        <v>232</v>
      </c>
      <c r="C98" s="199"/>
      <c r="D98" s="328" t="s">
        <v>364</v>
      </c>
      <c r="E98" s="201"/>
      <c r="F98" s="201">
        <f>F99+F100+F101</f>
        <v>1588000</v>
      </c>
      <c r="G98" s="201">
        <f>G99+G100+G101</f>
        <v>296844.58</v>
      </c>
      <c r="H98" s="201"/>
      <c r="I98" s="201"/>
      <c r="J98" s="201">
        <f t="shared" si="10"/>
        <v>296844.58</v>
      </c>
      <c r="K98" s="201"/>
      <c r="L98" s="203">
        <f>F98-J98</f>
        <v>1291155.42</v>
      </c>
    </row>
    <row r="99" spans="2:12" ht="15" customHeight="1">
      <c r="B99" s="306" t="s">
        <v>66</v>
      </c>
      <c r="C99" s="199"/>
      <c r="D99" s="328" t="s">
        <v>365</v>
      </c>
      <c r="E99" s="201"/>
      <c r="F99" s="201">
        <f>F116</f>
        <v>135000</v>
      </c>
      <c r="G99" s="201">
        <f>G116</f>
        <v>56786.81</v>
      </c>
      <c r="H99" s="201"/>
      <c r="I99" s="201"/>
      <c r="J99" s="201">
        <f t="shared" si="10"/>
        <v>56786.81</v>
      </c>
      <c r="K99" s="201"/>
      <c r="L99" s="203">
        <f>F99-G99</f>
        <v>78213.19</v>
      </c>
    </row>
    <row r="100" spans="2:12" ht="12.75" customHeight="1">
      <c r="B100" s="306" t="s">
        <v>242</v>
      </c>
      <c r="C100" s="199"/>
      <c r="D100" s="328" t="s">
        <v>366</v>
      </c>
      <c r="E100" s="201"/>
      <c r="F100" s="201">
        <f>F109+F133</f>
        <v>893000</v>
      </c>
      <c r="G100" s="201">
        <f>G109+G133</f>
        <v>170057.77000000002</v>
      </c>
      <c r="H100" s="201"/>
      <c r="I100" s="201"/>
      <c r="J100" s="201">
        <f t="shared" si="10"/>
        <v>170057.77000000002</v>
      </c>
      <c r="K100" s="201"/>
      <c r="L100" s="203">
        <f aca="true" t="shared" si="11" ref="L100:L107">F100-J100</f>
        <v>722942.23</v>
      </c>
    </row>
    <row r="101" spans="2:12" ht="12.75" customHeight="1">
      <c r="B101" s="306" t="s">
        <v>235</v>
      </c>
      <c r="C101" s="199"/>
      <c r="D101" s="328" t="s">
        <v>367</v>
      </c>
      <c r="E101" s="201"/>
      <c r="F101" s="201">
        <f>F118+F123+F128+F134</f>
        <v>560000</v>
      </c>
      <c r="G101" s="201">
        <f>G118+G123+G128+G134</f>
        <v>70000</v>
      </c>
      <c r="H101" s="201"/>
      <c r="I101" s="201"/>
      <c r="J101" s="201">
        <f t="shared" si="10"/>
        <v>70000</v>
      </c>
      <c r="K101" s="201"/>
      <c r="L101" s="203">
        <f t="shared" si="11"/>
        <v>490000</v>
      </c>
    </row>
    <row r="102" spans="2:12" ht="12.75" customHeight="1">
      <c r="B102" s="306" t="s">
        <v>51</v>
      </c>
      <c r="C102" s="199"/>
      <c r="D102" s="328" t="s">
        <v>368</v>
      </c>
      <c r="E102" s="201"/>
      <c r="F102" s="201">
        <f>F140</f>
        <v>3000</v>
      </c>
      <c r="G102" s="201">
        <f>G140</f>
        <v>0</v>
      </c>
      <c r="H102" s="201"/>
      <c r="I102" s="201"/>
      <c r="J102" s="201">
        <f aca="true" t="shared" si="12" ref="J102:J109">G102</f>
        <v>0</v>
      </c>
      <c r="K102" s="201"/>
      <c r="L102" s="203">
        <f t="shared" si="11"/>
        <v>3000</v>
      </c>
    </row>
    <row r="103" spans="2:12" ht="12.75" customHeight="1">
      <c r="B103" s="306" t="s">
        <v>68</v>
      </c>
      <c r="C103" s="199"/>
      <c r="D103" s="328" t="s">
        <v>369</v>
      </c>
      <c r="E103" s="201"/>
      <c r="F103" s="201">
        <f>F104+F105</f>
        <v>1111200</v>
      </c>
      <c r="G103" s="201">
        <f>G104+G105</f>
        <v>0</v>
      </c>
      <c r="H103" s="201"/>
      <c r="I103" s="201"/>
      <c r="J103" s="201">
        <f t="shared" si="12"/>
        <v>0</v>
      </c>
      <c r="K103" s="201"/>
      <c r="L103" s="203">
        <f t="shared" si="11"/>
        <v>1111200</v>
      </c>
    </row>
    <row r="104" spans="2:12" ht="12.75" customHeight="1">
      <c r="B104" s="306" t="s">
        <v>244</v>
      </c>
      <c r="C104" s="199"/>
      <c r="D104" s="328" t="s">
        <v>370</v>
      </c>
      <c r="E104" s="201"/>
      <c r="F104" s="201">
        <f>F136</f>
        <v>0</v>
      </c>
      <c r="G104" s="201">
        <f>G136</f>
        <v>0</v>
      </c>
      <c r="H104" s="201"/>
      <c r="I104" s="201"/>
      <c r="J104" s="201">
        <f t="shared" si="12"/>
        <v>0</v>
      </c>
      <c r="K104" s="201"/>
      <c r="L104" s="203">
        <f t="shared" si="11"/>
        <v>0</v>
      </c>
    </row>
    <row r="105" spans="2:12" ht="13.5" customHeight="1">
      <c r="B105" s="306" t="s">
        <v>243</v>
      </c>
      <c r="C105" s="346"/>
      <c r="D105" s="347" t="s">
        <v>371</v>
      </c>
      <c r="E105" s="348"/>
      <c r="F105" s="348">
        <f>F125+F130+F137</f>
        <v>1111200</v>
      </c>
      <c r="G105" s="348">
        <f>G125+G130+G137</f>
        <v>0</v>
      </c>
      <c r="H105" s="348"/>
      <c r="I105" s="348"/>
      <c r="J105" s="348">
        <f t="shared" si="12"/>
        <v>0</v>
      </c>
      <c r="K105" s="348"/>
      <c r="L105" s="349">
        <f t="shared" si="11"/>
        <v>1111200</v>
      </c>
    </row>
    <row r="106" spans="2:12" ht="13.5" customHeight="1" thickBot="1">
      <c r="B106" s="151"/>
      <c r="C106" s="135"/>
      <c r="D106" s="134" t="s">
        <v>6</v>
      </c>
      <c r="E106" s="139"/>
      <c r="F106" s="140"/>
      <c r="G106" s="140"/>
      <c r="H106" s="139"/>
      <c r="I106" s="139"/>
      <c r="J106" s="140"/>
      <c r="K106" s="139"/>
      <c r="L106" s="152">
        <f t="shared" si="11"/>
        <v>0</v>
      </c>
    </row>
    <row r="107" spans="2:12" ht="13.5" customHeight="1" thickBot="1">
      <c r="B107" s="308" t="s">
        <v>129</v>
      </c>
      <c r="C107" s="321"/>
      <c r="D107" s="324" t="s">
        <v>372</v>
      </c>
      <c r="E107" s="313"/>
      <c r="F107" s="313">
        <f>SUM(F109:F111)</f>
        <v>900000</v>
      </c>
      <c r="G107" s="313">
        <f>SUM(G109:G111)</f>
        <v>170057.77000000002</v>
      </c>
      <c r="H107" s="313"/>
      <c r="I107" s="313"/>
      <c r="J107" s="313">
        <f t="shared" si="12"/>
        <v>170057.77000000002</v>
      </c>
      <c r="K107" s="313"/>
      <c r="L107" s="314">
        <f t="shared" si="11"/>
        <v>729942.23</v>
      </c>
    </row>
    <row r="108" spans="2:12" ht="13.5" customHeight="1">
      <c r="B108" s="151"/>
      <c r="C108" s="135"/>
      <c r="D108" s="134" t="s">
        <v>6</v>
      </c>
      <c r="E108" s="139"/>
      <c r="F108" s="140"/>
      <c r="G108" s="140"/>
      <c r="H108" s="139"/>
      <c r="I108" s="139"/>
      <c r="J108" s="140"/>
      <c r="K108" s="139"/>
      <c r="L108" s="152"/>
    </row>
    <row r="109" spans="2:12" ht="13.5" customHeight="1">
      <c r="B109" s="160" t="s">
        <v>242</v>
      </c>
      <c r="C109" s="192"/>
      <c r="D109" s="158" t="s">
        <v>464</v>
      </c>
      <c r="E109" s="143"/>
      <c r="F109" s="142">
        <f>145000+358000+300000</f>
        <v>803000</v>
      </c>
      <c r="G109" s="142">
        <f>0+0+0+0+(25056+6336+3744+1468.8)+(99795.78+7309.44+26347.75)</f>
        <v>170057.77000000002</v>
      </c>
      <c r="H109" s="429"/>
      <c r="I109" s="143"/>
      <c r="J109" s="139">
        <f t="shared" si="12"/>
        <v>170057.77000000002</v>
      </c>
      <c r="K109" s="139"/>
      <c r="L109" s="152">
        <f>F109-J109</f>
        <v>632942.23</v>
      </c>
    </row>
    <row r="110" spans="2:12" ht="13.5" customHeight="1">
      <c r="B110" s="161" t="s">
        <v>235</v>
      </c>
      <c r="C110" s="192"/>
      <c r="D110" s="158" t="s">
        <v>506</v>
      </c>
      <c r="E110" s="143"/>
      <c r="F110" s="142">
        <v>1000</v>
      </c>
      <c r="G110" s="142"/>
      <c r="H110" s="429"/>
      <c r="I110" s="143"/>
      <c r="J110" s="139">
        <f>G110</f>
        <v>0</v>
      </c>
      <c r="K110" s="139"/>
      <c r="L110" s="152">
        <f>F110-J110</f>
        <v>1000</v>
      </c>
    </row>
    <row r="111" spans="2:12" ht="13.5" customHeight="1" thickBot="1">
      <c r="B111" s="151" t="s">
        <v>244</v>
      </c>
      <c r="C111" s="135"/>
      <c r="D111" s="158" t="s">
        <v>465</v>
      </c>
      <c r="E111" s="178"/>
      <c r="F111" s="426">
        <f>25000+25000+46000</f>
        <v>96000</v>
      </c>
      <c r="G111" s="426"/>
      <c r="H111" s="430"/>
      <c r="I111" s="195"/>
      <c r="J111" s="179"/>
      <c r="K111" s="179"/>
      <c r="L111" s="180"/>
    </row>
    <row r="112" spans="2:12" ht="13.5" customHeight="1" thickBot="1">
      <c r="B112" s="308" t="s">
        <v>128</v>
      </c>
      <c r="C112" s="321"/>
      <c r="D112" s="324" t="s">
        <v>373</v>
      </c>
      <c r="E112" s="322"/>
      <c r="F112" s="313">
        <f>F114+F121+F126+F131+F138</f>
        <v>1899200</v>
      </c>
      <c r="G112" s="313">
        <f>G114+G121+G126+G131+G138</f>
        <v>126786.81</v>
      </c>
      <c r="H112" s="431"/>
      <c r="I112" s="431"/>
      <c r="J112" s="322">
        <f>G112</f>
        <v>126786.81</v>
      </c>
      <c r="K112" s="322"/>
      <c r="L112" s="314">
        <f>F112-J112</f>
        <v>1772413.19</v>
      </c>
    </row>
    <row r="113" spans="2:12" ht="13.5" customHeight="1">
      <c r="B113" s="151"/>
      <c r="C113" s="135"/>
      <c r="D113" s="134" t="s">
        <v>6</v>
      </c>
      <c r="E113" s="139"/>
      <c r="F113" s="140"/>
      <c r="G113" s="140"/>
      <c r="H113" s="139"/>
      <c r="I113" s="139"/>
      <c r="J113" s="140"/>
      <c r="K113" s="139"/>
      <c r="L113" s="152"/>
    </row>
    <row r="114" spans="2:12" ht="13.5" customHeight="1">
      <c r="B114" s="198" t="s">
        <v>115</v>
      </c>
      <c r="C114" s="205"/>
      <c r="D114" s="209" t="s">
        <v>482</v>
      </c>
      <c r="E114" s="204"/>
      <c r="F114" s="210">
        <f>SUM(F116:F120)</f>
        <v>135000</v>
      </c>
      <c r="G114" s="210">
        <f>SUM(G116:G120)</f>
        <v>56786.81</v>
      </c>
      <c r="H114" s="204"/>
      <c r="I114" s="204"/>
      <c r="J114" s="210">
        <f>G114</f>
        <v>56786.81</v>
      </c>
      <c r="K114" s="204"/>
      <c r="L114" s="203">
        <f aca="true" t="shared" si="13" ref="L114:L142">F114-J114</f>
        <v>78213.19</v>
      </c>
    </row>
    <row r="115" spans="2:12" ht="13.5" customHeight="1">
      <c r="B115" s="151"/>
      <c r="C115" s="135"/>
      <c r="D115" s="134" t="s">
        <v>6</v>
      </c>
      <c r="E115" s="139"/>
      <c r="F115" s="140"/>
      <c r="G115" s="140"/>
      <c r="H115" s="139"/>
      <c r="I115" s="139"/>
      <c r="J115" s="140"/>
      <c r="K115" s="139"/>
      <c r="L115" s="152">
        <f t="shared" si="13"/>
        <v>0</v>
      </c>
    </row>
    <row r="116" spans="2:12" ht="13.5" customHeight="1">
      <c r="B116" s="151" t="s">
        <v>66</v>
      </c>
      <c r="C116" s="135"/>
      <c r="D116" s="158" t="s">
        <v>469</v>
      </c>
      <c r="E116" s="139"/>
      <c r="F116" s="142">
        <v>135000</v>
      </c>
      <c r="G116" s="142">
        <f>0+25136.18+7345.51+(9806.71+3004.99+4006.64)+(424.6+2157.48+2876.63)+2028.07</f>
        <v>56786.81</v>
      </c>
      <c r="H116" s="429"/>
      <c r="I116" s="143"/>
      <c r="J116" s="139">
        <f>G116</f>
        <v>56786.81</v>
      </c>
      <c r="K116" s="139"/>
      <c r="L116" s="152">
        <f>F116-G116</f>
        <v>78213.19</v>
      </c>
    </row>
    <row r="117" spans="2:12" ht="13.5" customHeight="1">
      <c r="B117" s="160" t="s">
        <v>242</v>
      </c>
      <c r="C117" s="135"/>
      <c r="D117" s="158" t="s">
        <v>470</v>
      </c>
      <c r="E117" s="139"/>
      <c r="F117" s="142"/>
      <c r="G117" s="142"/>
      <c r="H117" s="429"/>
      <c r="I117" s="143"/>
      <c r="J117" s="139"/>
      <c r="K117" s="139"/>
      <c r="L117" s="152">
        <f>F117-G117</f>
        <v>0</v>
      </c>
    </row>
    <row r="118" spans="2:12" ht="13.5" customHeight="1">
      <c r="B118" s="151" t="s">
        <v>235</v>
      </c>
      <c r="C118" s="135"/>
      <c r="D118" s="158" t="s">
        <v>471</v>
      </c>
      <c r="E118" s="139"/>
      <c r="F118" s="142"/>
      <c r="G118" s="142"/>
      <c r="H118" s="429"/>
      <c r="I118" s="143"/>
      <c r="J118" s="139">
        <f>G118</f>
        <v>0</v>
      </c>
      <c r="K118" s="139"/>
      <c r="L118" s="152">
        <f t="shared" si="13"/>
        <v>0</v>
      </c>
    </row>
    <row r="119" spans="2:12" ht="13.5" customHeight="1">
      <c r="B119" s="151" t="s">
        <v>244</v>
      </c>
      <c r="C119" s="135"/>
      <c r="D119" s="158" t="s">
        <v>472</v>
      </c>
      <c r="E119" s="139"/>
      <c r="F119" s="142"/>
      <c r="G119" s="142"/>
      <c r="H119" s="429"/>
      <c r="I119" s="143"/>
      <c r="J119" s="139">
        <f>G119</f>
        <v>0</v>
      </c>
      <c r="K119" s="139"/>
      <c r="L119" s="152">
        <f t="shared" si="13"/>
        <v>0</v>
      </c>
    </row>
    <row r="120" spans="2:12" ht="12.75" customHeight="1">
      <c r="B120" s="151" t="s">
        <v>243</v>
      </c>
      <c r="C120" s="135"/>
      <c r="D120" s="158" t="s">
        <v>473</v>
      </c>
      <c r="E120" s="139"/>
      <c r="F120" s="142"/>
      <c r="G120" s="142"/>
      <c r="H120" s="429"/>
      <c r="I120" s="143"/>
      <c r="J120" s="139">
        <f>G120</f>
        <v>0</v>
      </c>
      <c r="K120" s="139"/>
      <c r="L120" s="152">
        <f t="shared" si="13"/>
        <v>0</v>
      </c>
    </row>
    <row r="121" spans="2:12" ht="12.75" customHeight="1">
      <c r="B121" s="198" t="s">
        <v>116</v>
      </c>
      <c r="C121" s="205"/>
      <c r="D121" s="209" t="s">
        <v>481</v>
      </c>
      <c r="E121" s="204"/>
      <c r="F121" s="204">
        <f>SUM(F123:F125)</f>
        <v>200000</v>
      </c>
      <c r="G121" s="204">
        <f>SUM(G123:G125)</f>
        <v>0</v>
      </c>
      <c r="H121" s="204"/>
      <c r="I121" s="204"/>
      <c r="J121" s="204">
        <f>G121</f>
        <v>0</v>
      </c>
      <c r="K121" s="204"/>
      <c r="L121" s="203">
        <f t="shared" si="13"/>
        <v>200000</v>
      </c>
    </row>
    <row r="122" spans="2:12" ht="12.75" customHeight="1">
      <c r="B122" s="151"/>
      <c r="C122" s="135"/>
      <c r="D122" s="134" t="s">
        <v>6</v>
      </c>
      <c r="E122" s="139"/>
      <c r="F122" s="139"/>
      <c r="G122" s="139"/>
      <c r="H122" s="139"/>
      <c r="I122" s="139"/>
      <c r="J122" s="139"/>
      <c r="K122" s="139"/>
      <c r="L122" s="152">
        <f t="shared" si="13"/>
        <v>0</v>
      </c>
    </row>
    <row r="123" spans="2:12" ht="12.75" customHeight="1">
      <c r="B123" s="151" t="s">
        <v>235</v>
      </c>
      <c r="C123" s="135"/>
      <c r="D123" s="158" t="s">
        <v>474</v>
      </c>
      <c r="E123" s="139"/>
      <c r="F123" s="142">
        <v>200000</v>
      </c>
      <c r="G123" s="142"/>
      <c r="H123" s="139"/>
      <c r="I123" s="139"/>
      <c r="J123" s="139">
        <f>G123</f>
        <v>0</v>
      </c>
      <c r="K123" s="139"/>
      <c r="L123" s="152">
        <f t="shared" si="13"/>
        <v>200000</v>
      </c>
    </row>
    <row r="124" spans="2:12" ht="12.75" customHeight="1">
      <c r="B124" s="151" t="s">
        <v>244</v>
      </c>
      <c r="C124" s="135"/>
      <c r="D124" s="158" t="s">
        <v>475</v>
      </c>
      <c r="E124" s="139"/>
      <c r="F124" s="142"/>
      <c r="G124" s="142"/>
      <c r="H124" s="139"/>
      <c r="I124" s="139"/>
      <c r="J124" s="139">
        <f>G124</f>
        <v>0</v>
      </c>
      <c r="K124" s="139"/>
      <c r="L124" s="152">
        <f>F124-J124</f>
        <v>0</v>
      </c>
    </row>
    <row r="125" spans="2:12" ht="11.25">
      <c r="B125" s="151" t="s">
        <v>243</v>
      </c>
      <c r="C125" s="135"/>
      <c r="D125" s="158" t="s">
        <v>476</v>
      </c>
      <c r="E125" s="139"/>
      <c r="F125" s="142"/>
      <c r="G125" s="142"/>
      <c r="H125" s="139"/>
      <c r="I125" s="139"/>
      <c r="J125" s="139"/>
      <c r="K125" s="139"/>
      <c r="L125" s="152">
        <f t="shared" si="13"/>
        <v>0</v>
      </c>
    </row>
    <row r="126" spans="2:12" ht="12.75" customHeight="1">
      <c r="B126" s="198" t="s">
        <v>117</v>
      </c>
      <c r="C126" s="205"/>
      <c r="D126" s="209" t="s">
        <v>480</v>
      </c>
      <c r="E126" s="204"/>
      <c r="F126" s="204">
        <f>SUM(F128:F130)</f>
        <v>120000</v>
      </c>
      <c r="G126" s="204">
        <f>SUM(G128:G130)</f>
        <v>0</v>
      </c>
      <c r="H126" s="204"/>
      <c r="I126" s="204"/>
      <c r="J126" s="204">
        <f>G126</f>
        <v>0</v>
      </c>
      <c r="K126" s="204"/>
      <c r="L126" s="203">
        <f t="shared" si="13"/>
        <v>120000</v>
      </c>
    </row>
    <row r="127" spans="2:12" ht="12.75" customHeight="1">
      <c r="B127" s="151"/>
      <c r="C127" s="135"/>
      <c r="D127" s="134" t="s">
        <v>6</v>
      </c>
      <c r="E127" s="139"/>
      <c r="F127" s="139"/>
      <c r="G127" s="139"/>
      <c r="H127" s="139"/>
      <c r="I127" s="139"/>
      <c r="J127" s="139"/>
      <c r="K127" s="139"/>
      <c r="L127" s="152">
        <f t="shared" si="13"/>
        <v>0</v>
      </c>
    </row>
    <row r="128" spans="2:12" ht="12.75" customHeight="1">
      <c r="B128" s="151" t="s">
        <v>235</v>
      </c>
      <c r="C128" s="135"/>
      <c r="D128" s="158" t="s">
        <v>477</v>
      </c>
      <c r="E128" s="139"/>
      <c r="F128" s="142">
        <v>70000</v>
      </c>
      <c r="G128" s="142"/>
      <c r="H128" s="139"/>
      <c r="I128" s="139"/>
      <c r="J128" s="139">
        <f>G128</f>
        <v>0</v>
      </c>
      <c r="K128" s="139"/>
      <c r="L128" s="152">
        <f t="shared" si="13"/>
        <v>70000</v>
      </c>
    </row>
    <row r="129" spans="2:12" ht="12.75" customHeight="1">
      <c r="B129" s="151" t="s">
        <v>244</v>
      </c>
      <c r="C129" s="135"/>
      <c r="D129" s="158" t="s">
        <v>478</v>
      </c>
      <c r="E129" s="139"/>
      <c r="F129" s="142"/>
      <c r="G129" s="142"/>
      <c r="H129" s="139"/>
      <c r="I129" s="139"/>
      <c r="J129" s="139">
        <f>G129</f>
        <v>0</v>
      </c>
      <c r="K129" s="139"/>
      <c r="L129" s="152">
        <f>F129-G129</f>
        <v>0</v>
      </c>
    </row>
    <row r="130" spans="2:12" ht="12.75" customHeight="1">
      <c r="B130" s="151" t="s">
        <v>243</v>
      </c>
      <c r="C130" s="135"/>
      <c r="D130" s="158" t="s">
        <v>479</v>
      </c>
      <c r="E130" s="139"/>
      <c r="F130" s="142">
        <v>50000</v>
      </c>
      <c r="G130" s="142"/>
      <c r="H130" s="139"/>
      <c r="I130" s="139"/>
      <c r="J130" s="139">
        <f>G130</f>
        <v>0</v>
      </c>
      <c r="K130" s="139"/>
      <c r="L130" s="152">
        <f>F130-G130</f>
        <v>50000</v>
      </c>
    </row>
    <row r="131" spans="2:12" ht="12.75" customHeight="1">
      <c r="B131" s="198" t="s">
        <v>225</v>
      </c>
      <c r="C131" s="205"/>
      <c r="D131" s="209" t="s">
        <v>484</v>
      </c>
      <c r="E131" s="204"/>
      <c r="F131" s="204">
        <f>SUM(F133:F137)</f>
        <v>1441200</v>
      </c>
      <c r="G131" s="204">
        <f>SUM(G133:G137)</f>
        <v>70000</v>
      </c>
      <c r="H131" s="204"/>
      <c r="I131" s="204"/>
      <c r="J131" s="204">
        <f>G131</f>
        <v>70000</v>
      </c>
      <c r="K131" s="204"/>
      <c r="L131" s="203">
        <f t="shared" si="13"/>
        <v>1371200</v>
      </c>
    </row>
    <row r="132" spans="2:12" ht="12.75" customHeight="1">
      <c r="B132" s="151"/>
      <c r="C132" s="135"/>
      <c r="D132" s="134" t="s">
        <v>6</v>
      </c>
      <c r="E132" s="143"/>
      <c r="F132" s="139"/>
      <c r="G132" s="139"/>
      <c r="H132" s="139"/>
      <c r="I132" s="139"/>
      <c r="J132" s="139"/>
      <c r="K132" s="139"/>
      <c r="L132" s="152">
        <f t="shared" si="13"/>
        <v>0</v>
      </c>
    </row>
    <row r="133" spans="2:12" ht="12.75" customHeight="1">
      <c r="B133" s="160" t="s">
        <v>242</v>
      </c>
      <c r="C133" s="135"/>
      <c r="D133" s="158" t="s">
        <v>483</v>
      </c>
      <c r="E133" s="139"/>
      <c r="F133" s="142">
        <v>90000</v>
      </c>
      <c r="G133" s="142"/>
      <c r="H133" s="429"/>
      <c r="I133" s="143"/>
      <c r="J133" s="139">
        <f aca="true" t="shared" si="14" ref="J133:J138">G133</f>
        <v>0</v>
      </c>
      <c r="K133" s="139"/>
      <c r="L133" s="152">
        <f>F133-G133</f>
        <v>90000</v>
      </c>
    </row>
    <row r="134" spans="2:12" ht="12.75" customHeight="1">
      <c r="B134" s="151" t="s">
        <v>235</v>
      </c>
      <c r="C134" s="135"/>
      <c r="D134" s="158" t="s">
        <v>485</v>
      </c>
      <c r="E134" s="139"/>
      <c r="F134" s="142">
        <v>290000</v>
      </c>
      <c r="G134" s="142">
        <v>70000</v>
      </c>
      <c r="H134" s="429"/>
      <c r="I134" s="143"/>
      <c r="J134" s="139">
        <f t="shared" si="14"/>
        <v>70000</v>
      </c>
      <c r="K134" s="139"/>
      <c r="L134" s="152">
        <f>F134-G134</f>
        <v>220000</v>
      </c>
    </row>
    <row r="135" spans="2:12" ht="12.75" customHeight="1">
      <c r="B135" s="151" t="s">
        <v>51</v>
      </c>
      <c r="C135" s="135"/>
      <c r="D135" s="158" t="s">
        <v>486</v>
      </c>
      <c r="E135" s="139"/>
      <c r="F135" s="142"/>
      <c r="G135" s="142"/>
      <c r="H135" s="429"/>
      <c r="I135" s="143"/>
      <c r="J135" s="139">
        <f t="shared" si="14"/>
        <v>0</v>
      </c>
      <c r="K135" s="139"/>
      <c r="L135" s="152">
        <f>F135-J135</f>
        <v>0</v>
      </c>
    </row>
    <row r="136" spans="2:12" ht="12.75" customHeight="1">
      <c r="B136" s="151" t="s">
        <v>244</v>
      </c>
      <c r="C136" s="135"/>
      <c r="D136" s="158" t="s">
        <v>487</v>
      </c>
      <c r="E136" s="139"/>
      <c r="F136" s="142">
        <v>0</v>
      </c>
      <c r="G136" s="142"/>
      <c r="H136" s="429"/>
      <c r="I136" s="143"/>
      <c r="J136" s="139">
        <f t="shared" si="14"/>
        <v>0</v>
      </c>
      <c r="K136" s="139"/>
      <c r="L136" s="152">
        <f>F136-G136</f>
        <v>0</v>
      </c>
    </row>
    <row r="137" spans="2:12" ht="12.75" customHeight="1">
      <c r="B137" s="151" t="s">
        <v>243</v>
      </c>
      <c r="C137" s="171"/>
      <c r="D137" s="175" t="s">
        <v>488</v>
      </c>
      <c r="E137" s="52"/>
      <c r="F137" s="173">
        <v>1061200</v>
      </c>
      <c r="G137" s="173"/>
      <c r="H137" s="429"/>
      <c r="I137" s="143"/>
      <c r="J137" s="52">
        <f t="shared" si="14"/>
        <v>0</v>
      </c>
      <c r="K137" s="52"/>
      <c r="L137" s="174">
        <f>F137-G137</f>
        <v>1061200</v>
      </c>
    </row>
    <row r="138" spans="2:12" s="49" customFormat="1" ht="23.25" customHeight="1">
      <c r="B138" s="198" t="s">
        <v>234</v>
      </c>
      <c r="C138" s="199"/>
      <c r="D138" s="209" t="s">
        <v>489</v>
      </c>
      <c r="E138" s="201"/>
      <c r="F138" s="204">
        <f>F140</f>
        <v>3000</v>
      </c>
      <c r="G138" s="204">
        <f>G140</f>
        <v>0</v>
      </c>
      <c r="H138" s="201"/>
      <c r="I138" s="201"/>
      <c r="J138" s="204">
        <f t="shared" si="14"/>
        <v>0</v>
      </c>
      <c r="K138" s="201"/>
      <c r="L138" s="203">
        <f>L140</f>
        <v>3000</v>
      </c>
    </row>
    <row r="139" spans="2:12" ht="12.75" customHeight="1">
      <c r="B139" s="176"/>
      <c r="C139" s="165"/>
      <c r="D139" s="177" t="s">
        <v>121</v>
      </c>
      <c r="E139" s="167"/>
      <c r="F139" s="167"/>
      <c r="G139" s="167"/>
      <c r="H139" s="167"/>
      <c r="I139" s="167"/>
      <c r="J139" s="167"/>
      <c r="K139" s="167"/>
      <c r="L139" s="169"/>
    </row>
    <row r="140" spans="2:12" ht="13.5" customHeight="1" thickBot="1">
      <c r="B140" s="151" t="s">
        <v>236</v>
      </c>
      <c r="C140" s="153"/>
      <c r="D140" s="163" t="s">
        <v>490</v>
      </c>
      <c r="E140" s="154"/>
      <c r="F140" s="155">
        <v>3000</v>
      </c>
      <c r="G140" s="155"/>
      <c r="H140" s="154"/>
      <c r="I140" s="154"/>
      <c r="J140" s="154">
        <f>G140</f>
        <v>0</v>
      </c>
      <c r="K140" s="154"/>
      <c r="L140" s="156">
        <f>F140-G140</f>
        <v>3000</v>
      </c>
    </row>
    <row r="141" spans="2:12" ht="13.5" customHeight="1" thickBot="1">
      <c r="B141" s="336" t="s">
        <v>111</v>
      </c>
      <c r="C141" s="341"/>
      <c r="D141" s="338" t="s">
        <v>308</v>
      </c>
      <c r="E141" s="339"/>
      <c r="F141" s="339">
        <f>F145+F156</f>
        <v>80000</v>
      </c>
      <c r="G141" s="339">
        <f>G145+G156</f>
        <v>0</v>
      </c>
      <c r="H141" s="339"/>
      <c r="I141" s="339"/>
      <c r="J141" s="339">
        <f>G141</f>
        <v>0</v>
      </c>
      <c r="K141" s="339"/>
      <c r="L141" s="340">
        <f t="shared" si="13"/>
        <v>80000</v>
      </c>
    </row>
    <row r="142" spans="2:12" ht="13.5" customHeight="1">
      <c r="B142" s="277" t="s">
        <v>110</v>
      </c>
      <c r="C142" s="269"/>
      <c r="D142" s="270" t="s">
        <v>309</v>
      </c>
      <c r="E142" s="271"/>
      <c r="F142" s="271">
        <f>SUM(F147:F153)</f>
        <v>0</v>
      </c>
      <c r="G142" s="271">
        <f>SUM(G147:G153)</f>
        <v>0</v>
      </c>
      <c r="H142" s="271"/>
      <c r="I142" s="271"/>
      <c r="J142" s="271">
        <f>G142</f>
        <v>0</v>
      </c>
      <c r="K142" s="271"/>
      <c r="L142" s="272">
        <f t="shared" si="13"/>
        <v>0</v>
      </c>
    </row>
    <row r="143" spans="2:12" ht="13.5" customHeight="1">
      <c r="B143" s="268" t="s">
        <v>68</v>
      </c>
      <c r="C143" s="273"/>
      <c r="D143" s="274" t="s">
        <v>310</v>
      </c>
      <c r="E143" s="275"/>
      <c r="F143" s="275">
        <f>SUM(F154:F155)</f>
        <v>80000</v>
      </c>
      <c r="G143" s="275">
        <f>SUM(G154:G155)</f>
        <v>0</v>
      </c>
      <c r="H143" s="275"/>
      <c r="I143" s="275"/>
      <c r="J143" s="275">
        <f>G143</f>
        <v>0</v>
      </c>
      <c r="K143" s="275"/>
      <c r="L143" s="276">
        <f aca="true" t="shared" si="15" ref="L143:L177">F143-J143</f>
        <v>80000</v>
      </c>
    </row>
    <row r="144" spans="2:12" ht="13.5" customHeight="1">
      <c r="B144" s="151"/>
      <c r="C144" s="135"/>
      <c r="D144" s="134" t="s">
        <v>6</v>
      </c>
      <c r="E144" s="139"/>
      <c r="F144" s="139"/>
      <c r="G144" s="139"/>
      <c r="H144" s="139"/>
      <c r="I144" s="139"/>
      <c r="J144" s="139"/>
      <c r="K144" s="139"/>
      <c r="L144" s="152">
        <f>F144-J144</f>
        <v>0</v>
      </c>
    </row>
    <row r="145" spans="2:12" ht="24" customHeight="1">
      <c r="B145" s="198" t="s">
        <v>113</v>
      </c>
      <c r="C145" s="199"/>
      <c r="D145" s="209" t="s">
        <v>374</v>
      </c>
      <c r="E145" s="201"/>
      <c r="F145" s="201">
        <f>SUM(F147:F155)</f>
        <v>80000</v>
      </c>
      <c r="G145" s="201">
        <f>SUM(G147:G155)</f>
        <v>0</v>
      </c>
      <c r="H145" s="201"/>
      <c r="I145" s="201"/>
      <c r="J145" s="201">
        <f>G145</f>
        <v>0</v>
      </c>
      <c r="K145" s="201"/>
      <c r="L145" s="203">
        <f t="shared" si="15"/>
        <v>80000</v>
      </c>
    </row>
    <row r="146" spans="2:12" ht="13.5" customHeight="1">
      <c r="B146" s="151"/>
      <c r="C146" s="135"/>
      <c r="D146" s="134" t="s">
        <v>6</v>
      </c>
      <c r="E146" s="139"/>
      <c r="F146" s="139"/>
      <c r="G146" s="139"/>
      <c r="H146" s="139"/>
      <c r="I146" s="139"/>
      <c r="J146" s="139"/>
      <c r="K146" s="139"/>
      <c r="L146" s="152">
        <f t="shared" si="15"/>
        <v>0</v>
      </c>
    </row>
    <row r="147" spans="2:12" ht="13.5" customHeight="1" hidden="1">
      <c r="B147" s="160" t="s">
        <v>48</v>
      </c>
      <c r="C147" s="135"/>
      <c r="D147" s="158" t="s">
        <v>375</v>
      </c>
      <c r="E147" s="139"/>
      <c r="F147" s="142"/>
      <c r="G147" s="142"/>
      <c r="H147" s="139"/>
      <c r="I147" s="139"/>
      <c r="J147" s="139"/>
      <c r="K147" s="139"/>
      <c r="L147" s="152">
        <f t="shared" si="15"/>
        <v>0</v>
      </c>
    </row>
    <row r="148" spans="2:12" ht="13.5" customHeight="1" hidden="1">
      <c r="B148" s="160" t="s">
        <v>112</v>
      </c>
      <c r="C148" s="135"/>
      <c r="D148" s="158" t="s">
        <v>376</v>
      </c>
      <c r="E148" s="139"/>
      <c r="F148" s="142"/>
      <c r="G148" s="142"/>
      <c r="H148" s="139"/>
      <c r="I148" s="139"/>
      <c r="J148" s="139"/>
      <c r="K148" s="139"/>
      <c r="L148" s="152">
        <f t="shared" si="15"/>
        <v>0</v>
      </c>
    </row>
    <row r="149" spans="2:12" ht="13.5" customHeight="1" hidden="1">
      <c r="B149" s="151" t="s">
        <v>50</v>
      </c>
      <c r="C149" s="135"/>
      <c r="D149" s="158" t="s">
        <v>377</v>
      </c>
      <c r="E149" s="139"/>
      <c r="F149" s="142"/>
      <c r="G149" s="142"/>
      <c r="H149" s="139"/>
      <c r="I149" s="139"/>
      <c r="J149" s="139"/>
      <c r="K149" s="139"/>
      <c r="L149" s="152">
        <f t="shared" si="15"/>
        <v>0</v>
      </c>
    </row>
    <row r="150" spans="2:12" ht="13.5" customHeight="1" hidden="1">
      <c r="B150" s="151" t="s">
        <v>65</v>
      </c>
      <c r="C150" s="135"/>
      <c r="D150" s="158" t="s">
        <v>378</v>
      </c>
      <c r="E150" s="139"/>
      <c r="F150" s="142"/>
      <c r="G150" s="142"/>
      <c r="H150" s="139"/>
      <c r="I150" s="139"/>
      <c r="J150" s="139"/>
      <c r="K150" s="139"/>
      <c r="L150" s="152">
        <f t="shared" si="15"/>
        <v>0</v>
      </c>
    </row>
    <row r="151" spans="2:12" ht="13.5" customHeight="1" hidden="1">
      <c r="B151" s="151" t="s">
        <v>66</v>
      </c>
      <c r="C151" s="135"/>
      <c r="D151" s="158" t="s">
        <v>379</v>
      </c>
      <c r="E151" s="139"/>
      <c r="F151" s="142"/>
      <c r="G151" s="142"/>
      <c r="H151" s="139"/>
      <c r="I151" s="139"/>
      <c r="J151" s="139"/>
      <c r="K151" s="139"/>
      <c r="L151" s="152">
        <f t="shared" si="15"/>
        <v>0</v>
      </c>
    </row>
    <row r="152" spans="2:12" ht="13.5" customHeight="1" hidden="1">
      <c r="B152" s="160" t="s">
        <v>67</v>
      </c>
      <c r="C152" s="135"/>
      <c r="D152" s="158" t="s">
        <v>380</v>
      </c>
      <c r="E152" s="139"/>
      <c r="F152" s="142"/>
      <c r="G152" s="142"/>
      <c r="H152" s="139"/>
      <c r="I152" s="139"/>
      <c r="J152" s="139"/>
      <c r="K152" s="139"/>
      <c r="L152" s="152">
        <f t="shared" si="15"/>
        <v>0</v>
      </c>
    </row>
    <row r="153" spans="2:12" ht="13.5" customHeight="1" hidden="1">
      <c r="B153" s="151" t="s">
        <v>71</v>
      </c>
      <c r="C153" s="135"/>
      <c r="D153" s="158" t="s">
        <v>381</v>
      </c>
      <c r="E153" s="139"/>
      <c r="F153" s="142"/>
      <c r="G153" s="142"/>
      <c r="H153" s="139"/>
      <c r="I153" s="139"/>
      <c r="J153" s="139"/>
      <c r="K153" s="139"/>
      <c r="L153" s="152">
        <f t="shared" si="15"/>
        <v>0</v>
      </c>
    </row>
    <row r="154" spans="2:12" ht="13.5" customHeight="1" hidden="1">
      <c r="B154" s="160" t="s">
        <v>69</v>
      </c>
      <c r="C154" s="135"/>
      <c r="D154" s="158" t="s">
        <v>382</v>
      </c>
      <c r="E154" s="139"/>
      <c r="F154" s="142"/>
      <c r="G154" s="142"/>
      <c r="H154" s="139"/>
      <c r="I154" s="139"/>
      <c r="J154" s="139"/>
      <c r="K154" s="139"/>
      <c r="L154" s="152">
        <f t="shared" si="15"/>
        <v>0</v>
      </c>
    </row>
    <row r="155" spans="2:12" ht="22.5" customHeight="1" thickBot="1">
      <c r="B155" s="160" t="s">
        <v>228</v>
      </c>
      <c r="C155" s="135"/>
      <c r="D155" s="158" t="s">
        <v>383</v>
      </c>
      <c r="E155" s="139"/>
      <c r="F155" s="142">
        <v>80000</v>
      </c>
      <c r="G155" s="142"/>
      <c r="H155" s="139"/>
      <c r="I155" s="139"/>
      <c r="J155" s="139">
        <f>G155</f>
        <v>0</v>
      </c>
      <c r="K155" s="139"/>
      <c r="L155" s="152">
        <f t="shared" si="15"/>
        <v>80000</v>
      </c>
    </row>
    <row r="156" spans="2:12" ht="13.5" customHeight="1" hidden="1">
      <c r="B156" s="198" t="s">
        <v>122</v>
      </c>
      <c r="C156" s="205"/>
      <c r="D156" s="209" t="s">
        <v>384</v>
      </c>
      <c r="E156" s="204"/>
      <c r="F156" s="204">
        <f>F158</f>
        <v>0</v>
      </c>
      <c r="G156" s="204">
        <f>G158</f>
        <v>0</v>
      </c>
      <c r="H156" s="204"/>
      <c r="I156" s="204"/>
      <c r="J156" s="204">
        <f>J158</f>
        <v>0</v>
      </c>
      <c r="K156" s="204"/>
      <c r="L156" s="203">
        <f>L158</f>
        <v>0</v>
      </c>
    </row>
    <row r="157" spans="2:12" ht="13.5" customHeight="1" hidden="1">
      <c r="B157" s="160"/>
      <c r="C157" s="135"/>
      <c r="D157" s="134" t="s">
        <v>121</v>
      </c>
      <c r="E157" s="139"/>
      <c r="F157" s="139"/>
      <c r="G157" s="139"/>
      <c r="H157" s="139"/>
      <c r="I157" s="139"/>
      <c r="J157" s="139"/>
      <c r="K157" s="139"/>
      <c r="L157" s="152"/>
    </row>
    <row r="158" spans="2:12" ht="13.5" customHeight="1" hidden="1" thickBot="1">
      <c r="B158" s="151" t="s">
        <v>238</v>
      </c>
      <c r="C158" s="171"/>
      <c r="D158" s="158" t="s">
        <v>385</v>
      </c>
      <c r="E158" s="52"/>
      <c r="F158" s="173"/>
      <c r="G158" s="173"/>
      <c r="H158" s="52"/>
      <c r="I158" s="52"/>
      <c r="J158" s="52">
        <f>G158</f>
        <v>0</v>
      </c>
      <c r="K158" s="52"/>
      <c r="L158" s="174">
        <f>F158-G158</f>
        <v>0</v>
      </c>
    </row>
    <row r="159" spans="2:12" ht="12.75" customHeight="1" thickBot="1">
      <c r="B159" s="336" t="s">
        <v>226</v>
      </c>
      <c r="C159" s="341"/>
      <c r="D159" s="338" t="s">
        <v>387</v>
      </c>
      <c r="E159" s="344"/>
      <c r="F159" s="339">
        <f>F160+F172</f>
        <v>2154000</v>
      </c>
      <c r="G159" s="339">
        <f>G160+G172</f>
        <v>737704.29</v>
      </c>
      <c r="H159" s="339"/>
      <c r="I159" s="339"/>
      <c r="J159" s="343">
        <f>G159</f>
        <v>737704.29</v>
      </c>
      <c r="K159" s="339"/>
      <c r="L159" s="340">
        <f t="shared" si="15"/>
        <v>1416295.71</v>
      </c>
    </row>
    <row r="160" spans="2:12" ht="12.75" customHeight="1">
      <c r="B160" s="326" t="s">
        <v>62</v>
      </c>
      <c r="C160" s="302"/>
      <c r="D160" s="327" t="s">
        <v>386</v>
      </c>
      <c r="E160" s="304"/>
      <c r="F160" s="304">
        <f>F161+F165+F171</f>
        <v>1819000</v>
      </c>
      <c r="G160" s="304">
        <f>G161+G165+G171</f>
        <v>591944.29</v>
      </c>
      <c r="H160" s="304"/>
      <c r="I160" s="304"/>
      <c r="J160" s="304">
        <f>G160</f>
        <v>591944.29</v>
      </c>
      <c r="K160" s="304"/>
      <c r="L160" s="305">
        <f t="shared" si="15"/>
        <v>1227055.71</v>
      </c>
    </row>
    <row r="161" spans="2:12" ht="12.75" customHeight="1">
      <c r="B161" s="306" t="s">
        <v>63</v>
      </c>
      <c r="C161" s="199"/>
      <c r="D161" s="328" t="s">
        <v>388</v>
      </c>
      <c r="E161" s="201"/>
      <c r="F161" s="201">
        <f>F162+F163+F164</f>
        <v>1457500</v>
      </c>
      <c r="G161" s="201">
        <f>G162+G163+G164</f>
        <v>477236.71</v>
      </c>
      <c r="H161" s="201"/>
      <c r="I161" s="201"/>
      <c r="J161" s="201">
        <f aca="true" t="shared" si="16" ref="J161:J166">G161</f>
        <v>477236.71</v>
      </c>
      <c r="K161" s="201"/>
      <c r="L161" s="203">
        <f t="shared" si="15"/>
        <v>980263.29</v>
      </c>
    </row>
    <row r="162" spans="2:12" ht="12.75" customHeight="1">
      <c r="B162" s="306" t="s">
        <v>48</v>
      </c>
      <c r="C162" s="199"/>
      <c r="D162" s="328" t="s">
        <v>389</v>
      </c>
      <c r="E162" s="201"/>
      <c r="F162" s="201">
        <f aca="true" t="shared" si="17" ref="F162:G164">F180</f>
        <v>1100000</v>
      </c>
      <c r="G162" s="201">
        <f t="shared" si="17"/>
        <v>373298.64</v>
      </c>
      <c r="H162" s="201"/>
      <c r="I162" s="201"/>
      <c r="J162" s="201">
        <f t="shared" si="16"/>
        <v>373298.64</v>
      </c>
      <c r="K162" s="201"/>
      <c r="L162" s="203">
        <f t="shared" si="15"/>
        <v>726701.36</v>
      </c>
    </row>
    <row r="163" spans="2:12" ht="12.75" customHeight="1">
      <c r="B163" s="306" t="s">
        <v>241</v>
      </c>
      <c r="C163" s="199"/>
      <c r="D163" s="328" t="s">
        <v>390</v>
      </c>
      <c r="E163" s="201"/>
      <c r="F163" s="201">
        <f t="shared" si="17"/>
        <v>0</v>
      </c>
      <c r="G163" s="201">
        <f t="shared" si="17"/>
        <v>0</v>
      </c>
      <c r="H163" s="201"/>
      <c r="I163" s="201"/>
      <c r="J163" s="201">
        <f t="shared" si="16"/>
        <v>0</v>
      </c>
      <c r="K163" s="201"/>
      <c r="L163" s="203">
        <f t="shared" si="15"/>
        <v>0</v>
      </c>
    </row>
    <row r="164" spans="2:12" ht="12.75" customHeight="1">
      <c r="B164" s="306" t="s">
        <v>64</v>
      </c>
      <c r="C164" s="199"/>
      <c r="D164" s="328" t="s">
        <v>391</v>
      </c>
      <c r="E164" s="201"/>
      <c r="F164" s="201">
        <f t="shared" si="17"/>
        <v>357500</v>
      </c>
      <c r="G164" s="201">
        <f t="shared" si="17"/>
        <v>103938.07</v>
      </c>
      <c r="H164" s="201"/>
      <c r="I164" s="201"/>
      <c r="J164" s="201">
        <f t="shared" si="16"/>
        <v>103938.07</v>
      </c>
      <c r="K164" s="201"/>
      <c r="L164" s="203">
        <f t="shared" si="15"/>
        <v>253561.93</v>
      </c>
    </row>
    <row r="165" spans="2:12" ht="12.75" customHeight="1">
      <c r="B165" s="306" t="s">
        <v>232</v>
      </c>
      <c r="C165" s="199"/>
      <c r="D165" s="328" t="s">
        <v>392</v>
      </c>
      <c r="E165" s="201"/>
      <c r="F165" s="201">
        <f>F166+F167+F168+F169+F170</f>
        <v>289000</v>
      </c>
      <c r="G165" s="201">
        <f>G166+G167+G168+G169+G170</f>
        <v>107034.57999999999</v>
      </c>
      <c r="H165" s="201"/>
      <c r="I165" s="201"/>
      <c r="J165" s="201">
        <f t="shared" si="16"/>
        <v>107034.57999999999</v>
      </c>
      <c r="K165" s="201"/>
      <c r="L165" s="203">
        <f t="shared" si="15"/>
        <v>181965.42</v>
      </c>
    </row>
    <row r="166" spans="2:12" ht="12.75" customHeight="1">
      <c r="B166" s="306" t="s">
        <v>50</v>
      </c>
      <c r="C166" s="199"/>
      <c r="D166" s="328" t="s">
        <v>393</v>
      </c>
      <c r="E166" s="201"/>
      <c r="F166" s="201">
        <f aca="true" t="shared" si="18" ref="F166:G170">F183</f>
        <v>0</v>
      </c>
      <c r="G166" s="201">
        <f t="shared" si="18"/>
        <v>0</v>
      </c>
      <c r="H166" s="201"/>
      <c r="I166" s="201"/>
      <c r="J166" s="201">
        <f t="shared" si="16"/>
        <v>0</v>
      </c>
      <c r="K166" s="201"/>
      <c r="L166" s="203">
        <f t="shared" si="15"/>
        <v>0</v>
      </c>
    </row>
    <row r="167" spans="2:12" ht="12.75" customHeight="1">
      <c r="B167" s="306" t="s">
        <v>65</v>
      </c>
      <c r="C167" s="199"/>
      <c r="D167" s="328" t="s">
        <v>394</v>
      </c>
      <c r="E167" s="201"/>
      <c r="F167" s="201">
        <f t="shared" si="18"/>
        <v>0</v>
      </c>
      <c r="G167" s="201">
        <f t="shared" si="18"/>
        <v>0</v>
      </c>
      <c r="H167" s="201"/>
      <c r="I167" s="201"/>
      <c r="J167" s="201">
        <f aca="true" t="shared" si="19" ref="J167:J176">G167</f>
        <v>0</v>
      </c>
      <c r="K167" s="201"/>
      <c r="L167" s="203">
        <f t="shared" si="15"/>
        <v>0</v>
      </c>
    </row>
    <row r="168" spans="2:12" ht="12.75" customHeight="1">
      <c r="B168" s="306" t="s">
        <v>66</v>
      </c>
      <c r="C168" s="199"/>
      <c r="D168" s="328" t="s">
        <v>395</v>
      </c>
      <c r="E168" s="201"/>
      <c r="F168" s="201">
        <f t="shared" si="18"/>
        <v>79000</v>
      </c>
      <c r="G168" s="201">
        <f t="shared" si="18"/>
        <v>20552.489999999998</v>
      </c>
      <c r="H168" s="201"/>
      <c r="I168" s="201"/>
      <c r="J168" s="201">
        <f t="shared" si="19"/>
        <v>20552.489999999998</v>
      </c>
      <c r="K168" s="201"/>
      <c r="L168" s="203">
        <f t="shared" si="15"/>
        <v>58447.51</v>
      </c>
    </row>
    <row r="169" spans="2:12" ht="12.75" customHeight="1">
      <c r="B169" s="306" t="s">
        <v>242</v>
      </c>
      <c r="C169" s="199"/>
      <c r="D169" s="328" t="s">
        <v>396</v>
      </c>
      <c r="E169" s="201"/>
      <c r="F169" s="201">
        <f t="shared" si="18"/>
        <v>170000</v>
      </c>
      <c r="G169" s="201">
        <f t="shared" si="18"/>
        <v>79842.09</v>
      </c>
      <c r="H169" s="201"/>
      <c r="I169" s="201"/>
      <c r="J169" s="201">
        <f t="shared" si="19"/>
        <v>79842.09</v>
      </c>
      <c r="K169" s="201"/>
      <c r="L169" s="203">
        <f t="shared" si="15"/>
        <v>90157.91</v>
      </c>
    </row>
    <row r="170" spans="2:12" ht="12.75" customHeight="1">
      <c r="B170" s="306" t="s">
        <v>235</v>
      </c>
      <c r="C170" s="199"/>
      <c r="D170" s="328" t="s">
        <v>397</v>
      </c>
      <c r="E170" s="201"/>
      <c r="F170" s="201">
        <f t="shared" si="18"/>
        <v>40000</v>
      </c>
      <c r="G170" s="201">
        <f t="shared" si="18"/>
        <v>6640</v>
      </c>
      <c r="H170" s="201"/>
      <c r="I170" s="201"/>
      <c r="J170" s="201">
        <f t="shared" si="19"/>
        <v>6640</v>
      </c>
      <c r="K170" s="201"/>
      <c r="L170" s="203">
        <f t="shared" si="15"/>
        <v>33360</v>
      </c>
    </row>
    <row r="171" spans="2:12" ht="12.75" customHeight="1">
      <c r="B171" s="306" t="s">
        <v>51</v>
      </c>
      <c r="C171" s="199"/>
      <c r="D171" s="328" t="s">
        <v>398</v>
      </c>
      <c r="E171" s="201"/>
      <c r="F171" s="201">
        <f>F188+SUM(F193:F195)</f>
        <v>72500</v>
      </c>
      <c r="G171" s="201">
        <f>G188+SUM(G193:G195)</f>
        <v>7673</v>
      </c>
      <c r="H171" s="201"/>
      <c r="I171" s="201"/>
      <c r="J171" s="201">
        <f t="shared" si="19"/>
        <v>7673</v>
      </c>
      <c r="K171" s="201"/>
      <c r="L171" s="203">
        <f t="shared" si="15"/>
        <v>64827</v>
      </c>
    </row>
    <row r="172" spans="2:12" ht="12.75" customHeight="1">
      <c r="B172" s="306" t="s">
        <v>68</v>
      </c>
      <c r="C172" s="199"/>
      <c r="D172" s="328" t="s">
        <v>399</v>
      </c>
      <c r="E172" s="201"/>
      <c r="F172" s="201">
        <f>F173+F174</f>
        <v>335000</v>
      </c>
      <c r="G172" s="201">
        <f>G173+G174</f>
        <v>145760</v>
      </c>
      <c r="H172" s="201"/>
      <c r="I172" s="201"/>
      <c r="J172" s="201">
        <f t="shared" si="19"/>
        <v>145760</v>
      </c>
      <c r="K172" s="201"/>
      <c r="L172" s="203">
        <f t="shared" si="15"/>
        <v>189240</v>
      </c>
    </row>
    <row r="173" spans="2:12" ht="12.75" customHeight="1">
      <c r="B173" s="306" t="s">
        <v>244</v>
      </c>
      <c r="C173" s="199"/>
      <c r="D173" s="328" t="s">
        <v>400</v>
      </c>
      <c r="E173" s="201"/>
      <c r="F173" s="201">
        <f>F189</f>
        <v>285000</v>
      </c>
      <c r="G173" s="201">
        <f>G189</f>
        <v>145760</v>
      </c>
      <c r="H173" s="201"/>
      <c r="I173" s="201"/>
      <c r="J173" s="201">
        <f t="shared" si="19"/>
        <v>145760</v>
      </c>
      <c r="K173" s="201"/>
      <c r="L173" s="203">
        <f t="shared" si="15"/>
        <v>139240</v>
      </c>
    </row>
    <row r="174" spans="2:12" ht="13.5" customHeight="1">
      <c r="B174" s="306" t="s">
        <v>243</v>
      </c>
      <c r="C174" s="346"/>
      <c r="D174" s="347" t="s">
        <v>401</v>
      </c>
      <c r="E174" s="348"/>
      <c r="F174" s="348">
        <f>F190</f>
        <v>50000</v>
      </c>
      <c r="G174" s="348">
        <f>G190</f>
        <v>0</v>
      </c>
      <c r="H174" s="348"/>
      <c r="I174" s="348"/>
      <c r="J174" s="348">
        <f t="shared" si="19"/>
        <v>0</v>
      </c>
      <c r="K174" s="348"/>
      <c r="L174" s="349">
        <f t="shared" si="15"/>
        <v>50000</v>
      </c>
    </row>
    <row r="175" spans="2:12" ht="12.75" customHeight="1" thickBot="1">
      <c r="B175" s="151"/>
      <c r="C175" s="135"/>
      <c r="D175" s="137" t="s">
        <v>6</v>
      </c>
      <c r="E175" s="139"/>
      <c r="F175" s="140"/>
      <c r="G175" s="140"/>
      <c r="H175" s="139"/>
      <c r="I175" s="139"/>
      <c r="J175" s="140"/>
      <c r="K175" s="139"/>
      <c r="L175" s="152">
        <f t="shared" si="15"/>
        <v>0</v>
      </c>
    </row>
    <row r="176" spans="2:12" ht="12.75" customHeight="1" thickBot="1">
      <c r="B176" s="308" t="s">
        <v>59</v>
      </c>
      <c r="C176" s="321"/>
      <c r="D176" s="310" t="s">
        <v>402</v>
      </c>
      <c r="E176" s="322"/>
      <c r="F176" s="325">
        <f>F178+F191</f>
        <v>2154000</v>
      </c>
      <c r="G176" s="325">
        <f>G178+G191</f>
        <v>737704.29</v>
      </c>
      <c r="H176" s="322"/>
      <c r="I176" s="322"/>
      <c r="J176" s="325">
        <f t="shared" si="19"/>
        <v>737704.29</v>
      </c>
      <c r="K176" s="322"/>
      <c r="L176" s="314">
        <f t="shared" si="15"/>
        <v>1416295.71</v>
      </c>
    </row>
    <row r="177" spans="2:12" ht="12.75" customHeight="1">
      <c r="B177" s="151"/>
      <c r="C177" s="135"/>
      <c r="D177" s="137" t="s">
        <v>6</v>
      </c>
      <c r="E177" s="139"/>
      <c r="F177" s="140"/>
      <c r="G177" s="140"/>
      <c r="H177" s="139"/>
      <c r="I177" s="139"/>
      <c r="J177" s="140"/>
      <c r="K177" s="139"/>
      <c r="L177" s="152">
        <f t="shared" si="15"/>
        <v>0</v>
      </c>
    </row>
    <row r="178" spans="2:12" ht="26.25" customHeight="1">
      <c r="B178" s="198" t="s">
        <v>227</v>
      </c>
      <c r="C178" s="199"/>
      <c r="D178" s="200" t="s">
        <v>403</v>
      </c>
      <c r="E178" s="201"/>
      <c r="F178" s="202">
        <f>SUM(F180:F190)</f>
        <v>2126500</v>
      </c>
      <c r="G178" s="202">
        <f>SUM(G180:G190)</f>
        <v>730031.29</v>
      </c>
      <c r="H178" s="201"/>
      <c r="I178" s="201"/>
      <c r="J178" s="202">
        <f>G178</f>
        <v>730031.29</v>
      </c>
      <c r="K178" s="201"/>
      <c r="L178" s="203">
        <f aca="true" t="shared" si="20" ref="L178:L191">F178-J178</f>
        <v>1396468.71</v>
      </c>
    </row>
    <row r="179" spans="2:12" ht="13.5" customHeight="1">
      <c r="B179" s="151"/>
      <c r="C179" s="135"/>
      <c r="D179" s="137" t="s">
        <v>6</v>
      </c>
      <c r="E179" s="139"/>
      <c r="F179" s="140"/>
      <c r="G179" s="140"/>
      <c r="H179" s="139"/>
      <c r="I179" s="139"/>
      <c r="J179" s="140"/>
      <c r="K179" s="139"/>
      <c r="L179" s="152">
        <f t="shared" si="20"/>
        <v>0</v>
      </c>
    </row>
    <row r="180" spans="2:12" ht="13.5" customHeight="1">
      <c r="B180" s="151" t="s">
        <v>48</v>
      </c>
      <c r="C180" s="135"/>
      <c r="D180" s="158" t="s">
        <v>404</v>
      </c>
      <c r="E180" s="139"/>
      <c r="F180" s="424">
        <f>1200000-100000</f>
        <v>1100000</v>
      </c>
      <c r="G180" s="142">
        <f>25700+62520+108018.64+46515+31805+98740</f>
        <v>373298.64</v>
      </c>
      <c r="H180" s="139"/>
      <c r="I180" s="139"/>
      <c r="J180" s="139">
        <f>G180</f>
        <v>373298.64</v>
      </c>
      <c r="K180" s="139"/>
      <c r="L180" s="152">
        <f t="shared" si="20"/>
        <v>726701.36</v>
      </c>
    </row>
    <row r="181" spans="2:12" ht="13.5" customHeight="1">
      <c r="B181" s="151" t="s">
        <v>240</v>
      </c>
      <c r="C181" s="135"/>
      <c r="D181" s="158" t="s">
        <v>405</v>
      </c>
      <c r="E181" s="139"/>
      <c r="F181" s="142"/>
      <c r="G181" s="142"/>
      <c r="H181" s="139"/>
      <c r="I181" s="139"/>
      <c r="J181" s="139">
        <f>G181</f>
        <v>0</v>
      </c>
      <c r="K181" s="139"/>
      <c r="L181" s="152">
        <f t="shared" si="20"/>
        <v>0</v>
      </c>
    </row>
    <row r="182" spans="2:12" ht="13.5" customHeight="1">
      <c r="B182" s="151" t="s">
        <v>64</v>
      </c>
      <c r="C182" s="135"/>
      <c r="D182" s="158" t="s">
        <v>406</v>
      </c>
      <c r="E182" s="139"/>
      <c r="F182" s="427">
        <f>360000-2500</f>
        <v>357500</v>
      </c>
      <c r="G182" s="142">
        <f>0+18991.22+36609.47+14310.66+34026.72</f>
        <v>103938.07</v>
      </c>
      <c r="H182" s="139"/>
      <c r="I182" s="139"/>
      <c r="J182" s="139">
        <f>G182</f>
        <v>103938.07</v>
      </c>
      <c r="K182" s="139"/>
      <c r="L182" s="152">
        <f t="shared" si="20"/>
        <v>253561.93</v>
      </c>
    </row>
    <row r="183" spans="2:12" ht="13.5" customHeight="1">
      <c r="B183" s="151" t="s">
        <v>50</v>
      </c>
      <c r="C183" s="135"/>
      <c r="D183" s="158" t="s">
        <v>407</v>
      </c>
      <c r="E183" s="139"/>
      <c r="F183" s="142"/>
      <c r="G183" s="142"/>
      <c r="H183" s="429"/>
      <c r="I183" s="143"/>
      <c r="J183" s="139">
        <f>G183</f>
        <v>0</v>
      </c>
      <c r="K183" s="139"/>
      <c r="L183" s="152">
        <f t="shared" si="20"/>
        <v>0</v>
      </c>
    </row>
    <row r="184" spans="2:12" ht="13.5" customHeight="1">
      <c r="B184" s="151" t="s">
        <v>65</v>
      </c>
      <c r="C184" s="135"/>
      <c r="D184" s="158" t="s">
        <v>408</v>
      </c>
      <c r="E184" s="139"/>
      <c r="F184" s="142"/>
      <c r="G184" s="483"/>
      <c r="H184" s="429"/>
      <c r="I184" s="143"/>
      <c r="J184" s="139">
        <f aca="true" t="shared" si="21" ref="J184:J190">G184</f>
        <v>0</v>
      </c>
      <c r="K184" s="139"/>
      <c r="L184" s="152">
        <f t="shared" si="20"/>
        <v>0</v>
      </c>
    </row>
    <row r="185" spans="2:12" ht="13.5" customHeight="1">
      <c r="B185" s="151" t="s">
        <v>66</v>
      </c>
      <c r="C185" s="135"/>
      <c r="D185" s="158" t="s">
        <v>409</v>
      </c>
      <c r="E185" s="370"/>
      <c r="F185" s="142">
        <f>80000+4000-5000</f>
        <v>79000</v>
      </c>
      <c r="G185" s="425">
        <f>2684.4+(11382.18+1918.66)+4567.25</f>
        <v>20552.489999999998</v>
      </c>
      <c r="H185" s="429"/>
      <c r="I185" s="143"/>
      <c r="J185" s="139">
        <f t="shared" si="21"/>
        <v>20552.489999999998</v>
      </c>
      <c r="K185" s="139"/>
      <c r="L185" s="152">
        <f t="shared" si="20"/>
        <v>58447.51</v>
      </c>
    </row>
    <row r="186" spans="2:12" ht="13.5" customHeight="1">
      <c r="B186" s="151" t="s">
        <v>242</v>
      </c>
      <c r="C186" s="135"/>
      <c r="D186" s="158" t="s">
        <v>410</v>
      </c>
      <c r="E186" s="139"/>
      <c r="F186" s="142">
        <f>30000+40000+100000</f>
        <v>170000</v>
      </c>
      <c r="G186" s="142">
        <f>0+(4785+715+5850)+(7470+4785+715+1210+280.5+1210+280.5+11919.59+1200+1200+13650)+(4785+715+1210+280.5)+(4785+715+1210+280.5+4785+715+1210+280.5+1200*3)</f>
        <v>79842.09</v>
      </c>
      <c r="H186" s="429"/>
      <c r="I186" s="143"/>
      <c r="J186" s="139">
        <f t="shared" si="21"/>
        <v>79842.09</v>
      </c>
      <c r="K186" s="139"/>
      <c r="L186" s="152">
        <f t="shared" si="20"/>
        <v>90157.91</v>
      </c>
    </row>
    <row r="187" spans="2:12" ht="13.5" customHeight="1">
      <c r="B187" s="151" t="s">
        <v>235</v>
      </c>
      <c r="C187" s="135"/>
      <c r="D187" s="158" t="s">
        <v>411</v>
      </c>
      <c r="E187" s="139"/>
      <c r="F187" s="142">
        <v>40000</v>
      </c>
      <c r="G187" s="142">
        <f>1200+4500+940</f>
        <v>6640</v>
      </c>
      <c r="H187" s="429"/>
      <c r="I187" s="143"/>
      <c r="J187" s="139">
        <f>G187</f>
        <v>6640</v>
      </c>
      <c r="K187" s="139"/>
      <c r="L187" s="152">
        <f t="shared" si="20"/>
        <v>33360</v>
      </c>
    </row>
    <row r="188" spans="2:12" ht="36" customHeight="1">
      <c r="B188" s="151" t="s">
        <v>437</v>
      </c>
      <c r="C188" s="135"/>
      <c r="D188" s="158" t="s">
        <v>438</v>
      </c>
      <c r="E188" s="139"/>
      <c r="F188" s="142">
        <v>45000</v>
      </c>
      <c r="G188" s="482"/>
      <c r="H188" s="143"/>
      <c r="I188" s="143"/>
      <c r="J188" s="139">
        <f>G188</f>
        <v>0</v>
      </c>
      <c r="K188" s="139"/>
      <c r="L188" s="152">
        <f t="shared" si="20"/>
        <v>45000</v>
      </c>
    </row>
    <row r="189" spans="2:12" ht="13.5" customHeight="1">
      <c r="B189" s="151" t="s">
        <v>244</v>
      </c>
      <c r="C189" s="135"/>
      <c r="D189" s="158" t="s">
        <v>412</v>
      </c>
      <c r="E189" s="139"/>
      <c r="F189" s="142">
        <f>40000+100000+50000+100000-5000</f>
        <v>285000</v>
      </c>
      <c r="G189" s="142">
        <f>0+(99900+11250+2508)+5852+26250</f>
        <v>145760</v>
      </c>
      <c r="H189" s="139"/>
      <c r="I189" s="139"/>
      <c r="J189" s="139">
        <f t="shared" si="21"/>
        <v>145760</v>
      </c>
      <c r="K189" s="139"/>
      <c r="L189" s="152">
        <f t="shared" si="20"/>
        <v>139240</v>
      </c>
    </row>
    <row r="190" spans="2:12" ht="13.5" customHeight="1">
      <c r="B190" s="151" t="s">
        <v>243</v>
      </c>
      <c r="C190" s="135"/>
      <c r="D190" s="158" t="s">
        <v>413</v>
      </c>
      <c r="E190" s="139"/>
      <c r="F190" s="142">
        <v>50000</v>
      </c>
      <c r="G190" s="142"/>
      <c r="H190" s="139"/>
      <c r="I190" s="139"/>
      <c r="J190" s="139">
        <f t="shared" si="21"/>
        <v>0</v>
      </c>
      <c r="K190" s="139"/>
      <c r="L190" s="152">
        <f t="shared" si="20"/>
        <v>50000</v>
      </c>
    </row>
    <row r="191" spans="2:12" ht="22.5" customHeight="1">
      <c r="B191" s="198" t="s">
        <v>234</v>
      </c>
      <c r="C191" s="199"/>
      <c r="D191" s="200" t="s">
        <v>414</v>
      </c>
      <c r="E191" s="201"/>
      <c r="F191" s="204">
        <f>SUM(F193:F195)</f>
        <v>27500</v>
      </c>
      <c r="G191" s="204">
        <f>SUM(G193:G195)</f>
        <v>7673</v>
      </c>
      <c r="H191" s="204"/>
      <c r="I191" s="204"/>
      <c r="J191" s="204">
        <f>G191</f>
        <v>7673</v>
      </c>
      <c r="K191" s="201"/>
      <c r="L191" s="203">
        <f t="shared" si="20"/>
        <v>19827</v>
      </c>
    </row>
    <row r="192" spans="2:12" ht="13.5" customHeight="1">
      <c r="B192" s="151"/>
      <c r="C192" s="135"/>
      <c r="D192" s="137" t="s">
        <v>121</v>
      </c>
      <c r="E192" s="139"/>
      <c r="F192" s="157"/>
      <c r="G192" s="157"/>
      <c r="H192" s="157"/>
      <c r="I192" s="157"/>
      <c r="J192" s="157"/>
      <c r="K192" s="139"/>
      <c r="L192" s="152"/>
    </row>
    <row r="193" spans="2:12" ht="13.5" customHeight="1">
      <c r="B193" s="151" t="s">
        <v>237</v>
      </c>
      <c r="C193" s="135"/>
      <c r="D193" s="158" t="s">
        <v>416</v>
      </c>
      <c r="E193" s="139"/>
      <c r="F193" s="142">
        <f>3000-1000</f>
        <v>2000</v>
      </c>
      <c r="G193" s="142">
        <v>1000</v>
      </c>
      <c r="H193" s="139"/>
      <c r="I193" s="139"/>
      <c r="J193" s="139">
        <f>G193</f>
        <v>1000</v>
      </c>
      <c r="K193" s="139"/>
      <c r="L193" s="152">
        <f>F193-J193</f>
        <v>1000</v>
      </c>
    </row>
    <row r="194" spans="2:12" ht="13.5" customHeight="1">
      <c r="B194" s="151" t="s">
        <v>239</v>
      </c>
      <c r="C194" s="135"/>
      <c r="D194" s="158" t="s">
        <v>449</v>
      </c>
      <c r="E194" s="139"/>
      <c r="F194" s="142">
        <f>1000+1500+5000+13000</f>
        <v>20500</v>
      </c>
      <c r="G194" s="142">
        <f>1500+4000+200</f>
        <v>5700</v>
      </c>
      <c r="H194" s="139"/>
      <c r="I194" s="139"/>
      <c r="J194" s="139">
        <f>G194</f>
        <v>5700</v>
      </c>
      <c r="K194" s="139"/>
      <c r="L194" s="152">
        <f>F194-J194</f>
        <v>14800</v>
      </c>
    </row>
    <row r="195" spans="2:12" ht="13.5" customHeight="1" thickBot="1">
      <c r="B195" s="170" t="s">
        <v>238</v>
      </c>
      <c r="C195" s="171"/>
      <c r="D195" s="172" t="s">
        <v>415</v>
      </c>
      <c r="E195" s="52"/>
      <c r="F195" s="173">
        <f>2000+3000</f>
        <v>5000</v>
      </c>
      <c r="G195" s="173">
        <f>466+507</f>
        <v>973</v>
      </c>
      <c r="H195" s="52"/>
      <c r="I195" s="52"/>
      <c r="J195" s="52">
        <f>G195</f>
        <v>973</v>
      </c>
      <c r="K195" s="52"/>
      <c r="L195" s="174">
        <f>F195-J195</f>
        <v>4027</v>
      </c>
    </row>
    <row r="196" spans="2:12" ht="13.5" customHeight="1" thickBot="1">
      <c r="B196" s="336" t="s">
        <v>495</v>
      </c>
      <c r="C196" s="337"/>
      <c r="D196" s="487" t="s">
        <v>491</v>
      </c>
      <c r="E196" s="339"/>
      <c r="F196" s="339">
        <f>F198</f>
        <v>100000</v>
      </c>
      <c r="G196" s="339">
        <f>G198</f>
        <v>0</v>
      </c>
      <c r="H196" s="339"/>
      <c r="I196" s="339"/>
      <c r="J196" s="339">
        <f>G196</f>
        <v>0</v>
      </c>
      <c r="K196" s="339"/>
      <c r="L196" s="340">
        <f>F196-J196</f>
        <v>100000</v>
      </c>
    </row>
    <row r="197" spans="2:12" ht="11.25" customHeight="1">
      <c r="B197" s="484"/>
      <c r="C197" s="485"/>
      <c r="D197" s="166" t="s">
        <v>6</v>
      </c>
      <c r="E197" s="486"/>
      <c r="F197" s="486"/>
      <c r="G197" s="486"/>
      <c r="H197" s="486"/>
      <c r="I197" s="486"/>
      <c r="J197" s="486"/>
      <c r="K197" s="486"/>
      <c r="L197" s="169"/>
    </row>
    <row r="198" spans="2:12" ht="23.25" customHeight="1" thickBot="1">
      <c r="B198" s="151" t="s">
        <v>243</v>
      </c>
      <c r="C198" s="171"/>
      <c r="D198" s="172" t="s">
        <v>492</v>
      </c>
      <c r="E198" s="52"/>
      <c r="F198" s="173">
        <v>100000</v>
      </c>
      <c r="G198" s="173"/>
      <c r="H198" s="52"/>
      <c r="I198" s="52"/>
      <c r="J198" s="52">
        <f aca="true" t="shared" si="22" ref="J198:J203">G198</f>
        <v>0</v>
      </c>
      <c r="K198" s="52"/>
      <c r="L198" s="174">
        <f aca="true" t="shared" si="23" ref="L198:L205">F198-J198</f>
        <v>100000</v>
      </c>
    </row>
    <row r="199" spans="2:12" ht="13.5" customHeight="1" thickBot="1">
      <c r="B199" s="350" t="s">
        <v>124</v>
      </c>
      <c r="C199" s="337"/>
      <c r="D199" s="338" t="s">
        <v>417</v>
      </c>
      <c r="E199" s="339"/>
      <c r="F199" s="343">
        <f>F200</f>
        <v>46000</v>
      </c>
      <c r="G199" s="343">
        <f>G200</f>
        <v>10325</v>
      </c>
      <c r="H199" s="339"/>
      <c r="I199" s="339"/>
      <c r="J199" s="343">
        <f t="shared" si="22"/>
        <v>10325</v>
      </c>
      <c r="K199" s="339"/>
      <c r="L199" s="345">
        <f t="shared" si="23"/>
        <v>35675</v>
      </c>
    </row>
    <row r="200" spans="2:12" ht="13.5" customHeight="1">
      <c r="B200" s="353" t="s">
        <v>62</v>
      </c>
      <c r="C200" s="302"/>
      <c r="D200" s="327" t="s">
        <v>418</v>
      </c>
      <c r="E200" s="304"/>
      <c r="F200" s="304">
        <f>F201</f>
        <v>46000</v>
      </c>
      <c r="G200" s="304">
        <f>G201</f>
        <v>10325</v>
      </c>
      <c r="H200" s="304"/>
      <c r="I200" s="304"/>
      <c r="J200" s="304">
        <f t="shared" si="22"/>
        <v>10325</v>
      </c>
      <c r="K200" s="304"/>
      <c r="L200" s="305">
        <f t="shared" si="23"/>
        <v>35675</v>
      </c>
    </row>
    <row r="201" spans="2:12" ht="13.5" customHeight="1">
      <c r="B201" s="282" t="s">
        <v>232</v>
      </c>
      <c r="C201" s="199"/>
      <c r="D201" s="328" t="s">
        <v>419</v>
      </c>
      <c r="E201" s="201"/>
      <c r="F201" s="201">
        <f>F205</f>
        <v>46000</v>
      </c>
      <c r="G201" s="201">
        <f>G205</f>
        <v>10325</v>
      </c>
      <c r="H201" s="201"/>
      <c r="I201" s="201"/>
      <c r="J201" s="201">
        <f t="shared" si="22"/>
        <v>10325</v>
      </c>
      <c r="K201" s="201"/>
      <c r="L201" s="203">
        <f t="shared" si="23"/>
        <v>35675</v>
      </c>
    </row>
    <row r="202" spans="2:12" ht="13.5" customHeight="1" thickBot="1">
      <c r="B202" s="164"/>
      <c r="C202" s="165"/>
      <c r="D202" s="166" t="s">
        <v>6</v>
      </c>
      <c r="E202" s="167"/>
      <c r="F202" s="168"/>
      <c r="G202" s="168"/>
      <c r="H202" s="167"/>
      <c r="I202" s="167"/>
      <c r="J202" s="168"/>
      <c r="K202" s="167"/>
      <c r="L202" s="169">
        <f>F202-J202</f>
        <v>0</v>
      </c>
    </row>
    <row r="203" spans="2:12" ht="13.5" customHeight="1" thickBot="1">
      <c r="B203" s="351" t="s">
        <v>114</v>
      </c>
      <c r="C203" s="323"/>
      <c r="D203" s="310" t="s">
        <v>420</v>
      </c>
      <c r="E203" s="313"/>
      <c r="F203" s="325">
        <f>F205</f>
        <v>46000</v>
      </c>
      <c r="G203" s="325">
        <f>G205</f>
        <v>10325</v>
      </c>
      <c r="H203" s="313"/>
      <c r="I203" s="313"/>
      <c r="J203" s="325">
        <f t="shared" si="22"/>
        <v>10325</v>
      </c>
      <c r="K203" s="313"/>
      <c r="L203" s="352">
        <f t="shared" si="23"/>
        <v>35675</v>
      </c>
    </row>
    <row r="204" spans="2:12" ht="13.5" customHeight="1">
      <c r="B204" s="164"/>
      <c r="C204" s="165"/>
      <c r="D204" s="166" t="s">
        <v>6</v>
      </c>
      <c r="E204" s="167"/>
      <c r="F204" s="168"/>
      <c r="G204" s="168"/>
      <c r="H204" s="167"/>
      <c r="I204" s="167"/>
      <c r="J204" s="168"/>
      <c r="K204" s="167"/>
      <c r="L204" s="169">
        <f t="shared" si="23"/>
        <v>0</v>
      </c>
    </row>
    <row r="205" spans="2:12" ht="26.25" customHeight="1" thickBot="1">
      <c r="B205" s="162" t="s">
        <v>233</v>
      </c>
      <c r="C205" s="194"/>
      <c r="D205" s="163" t="s">
        <v>421</v>
      </c>
      <c r="E205" s="197"/>
      <c r="F205" s="155">
        <v>46000</v>
      </c>
      <c r="G205" s="155">
        <v>10325</v>
      </c>
      <c r="H205" s="195"/>
      <c r="I205" s="195"/>
      <c r="J205" s="195">
        <f>G205</f>
        <v>10325</v>
      </c>
      <c r="K205" s="195"/>
      <c r="L205" s="196">
        <f t="shared" si="23"/>
        <v>35675</v>
      </c>
    </row>
    <row r="206" spans="2:12" ht="13.5" customHeight="1" thickBot="1">
      <c r="B206" s="13"/>
      <c r="C206" s="59"/>
      <c r="D206" s="58"/>
      <c r="E206" s="50"/>
      <c r="F206" s="50"/>
      <c r="G206" s="60"/>
      <c r="H206" s="50"/>
      <c r="I206" s="50"/>
      <c r="J206" s="50"/>
      <c r="K206" s="50"/>
      <c r="L206" s="61"/>
    </row>
    <row r="207" spans="2:12" ht="27.75" customHeight="1" thickBot="1">
      <c r="B207" s="354" t="s">
        <v>132</v>
      </c>
      <c r="C207" s="355" t="s">
        <v>92</v>
      </c>
      <c r="D207" s="355" t="s">
        <v>133</v>
      </c>
      <c r="E207" s="356" t="s">
        <v>133</v>
      </c>
      <c r="F207" s="356" t="s">
        <v>133</v>
      </c>
      <c r="G207" s="404">
        <f>доходы!E24-расходы!G11</f>
        <v>543356.1400000001</v>
      </c>
      <c r="H207" s="404"/>
      <c r="I207" s="404"/>
      <c r="J207" s="404">
        <f>доходы!H24-расходы!J11</f>
        <v>543356.1400000001</v>
      </c>
      <c r="K207" s="356" t="s">
        <v>133</v>
      </c>
      <c r="L207" s="357" t="s">
        <v>133</v>
      </c>
    </row>
    <row r="208" spans="4:12" s="49" customFormat="1" ht="13.5" customHeight="1">
      <c r="D208" s="62"/>
      <c r="E208" s="50"/>
      <c r="F208" s="50"/>
      <c r="G208" s="50"/>
      <c r="H208" s="50"/>
      <c r="I208" s="50"/>
      <c r="J208" s="50"/>
      <c r="K208" s="50"/>
      <c r="L208" s="51"/>
    </row>
    <row r="209" spans="6:10" s="49" customFormat="1" ht="11.25">
      <c r="F209" s="63"/>
      <c r="G209" s="207"/>
      <c r="I209" s="63"/>
      <c r="J209" s="63"/>
    </row>
    <row r="210" spans="6:7" s="49" customFormat="1" ht="11.25">
      <c r="F210" s="63"/>
      <c r="G210" s="207"/>
    </row>
    <row r="211" s="49" customFormat="1" ht="11.25">
      <c r="G211" s="428"/>
    </row>
    <row r="212" spans="6:7" s="49" customFormat="1" ht="11.25">
      <c r="F212" s="63"/>
      <c r="G212" s="428"/>
    </row>
    <row r="213" spans="7:9" ht="11.25">
      <c r="G213" s="428"/>
      <c r="H213" s="49"/>
      <c r="I213" s="49"/>
    </row>
    <row r="214" spans="7:9" ht="11.25">
      <c r="G214" s="428"/>
      <c r="H214" s="49"/>
      <c r="I214" s="49"/>
    </row>
    <row r="215" spans="7:9" ht="11.25">
      <c r="G215" s="428"/>
      <c r="H215" s="49"/>
      <c r="I215" s="207"/>
    </row>
    <row r="216" spans="7:9" ht="11.25">
      <c r="G216" s="207"/>
      <c r="H216" s="49"/>
      <c r="I216" s="49"/>
    </row>
    <row r="217" spans="7:9" ht="11.25">
      <c r="G217" s="63"/>
      <c r="H217" s="49"/>
      <c r="I217" s="49"/>
    </row>
    <row r="218" spans="7:9" ht="11.25">
      <c r="G218" s="49"/>
      <c r="H218" s="49"/>
      <c r="I218" s="49"/>
    </row>
  </sheetData>
  <sheetProtection/>
  <mergeCells count="2">
    <mergeCell ref="B5:B9"/>
    <mergeCell ref="G5:J6"/>
  </mergeCells>
  <printOptions/>
  <pageMargins left="0.27" right="0.28" top="0.5" bottom="0.56" header="0.22" footer="0.27"/>
  <pageSetup horizontalDpi="600" verticalDpi="600" orientation="landscape" paperSize="9" scale="85" r:id="rId1"/>
  <headerFooter alignWithMargins="0">
    <oddHeader>&amp;C&amp;A&amp;RСтраница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J49"/>
  <sheetViews>
    <sheetView zoomScaleSheetLayoutView="100" zoomScalePageLayoutView="0" workbookViewId="0" topLeftCell="A1">
      <selection activeCell="F37" sqref="F37"/>
    </sheetView>
  </sheetViews>
  <sheetFormatPr defaultColWidth="9.00390625" defaultRowHeight="12.75"/>
  <cols>
    <col min="1" max="1" width="0.875" style="0" customWidth="1"/>
    <col min="2" max="2" width="47.00390625" style="2" customWidth="1"/>
    <col min="3" max="3" width="4.625" style="2" customWidth="1"/>
    <col min="4" max="4" width="25.625" style="2" customWidth="1"/>
    <col min="5" max="5" width="18.25390625" style="1" customWidth="1"/>
    <col min="6" max="6" width="14.125" style="1" customWidth="1"/>
    <col min="7" max="7" width="11.375" style="1" customWidth="1"/>
    <col min="8" max="8" width="12.125" style="1" customWidth="1"/>
    <col min="9" max="9" width="13.375" style="1" customWidth="1"/>
    <col min="10" max="10" width="14.125" style="0" customWidth="1"/>
  </cols>
  <sheetData>
    <row r="1" spans="2:10" ht="15.75" customHeight="1">
      <c r="B1" s="13"/>
      <c r="C1" s="26"/>
      <c r="D1" s="8"/>
      <c r="E1" s="22"/>
      <c r="F1" s="22"/>
      <c r="G1" s="22"/>
      <c r="H1" s="22"/>
      <c r="I1" s="22"/>
      <c r="J1" s="22"/>
    </row>
    <row r="2" spans="3:10" ht="14.25" customHeight="1">
      <c r="C2" s="10" t="s">
        <v>287</v>
      </c>
      <c r="D2" s="5"/>
      <c r="E2" s="27"/>
      <c r="F2" s="27"/>
      <c r="G2" s="27"/>
      <c r="H2" s="27"/>
      <c r="I2" s="28"/>
      <c r="J2" s="29"/>
    </row>
    <row r="3" spans="2:10" ht="13.5" thickBot="1">
      <c r="B3" s="16"/>
      <c r="C3" s="23"/>
      <c r="D3" s="17"/>
      <c r="E3" s="28"/>
      <c r="F3" s="28"/>
      <c r="G3" s="28"/>
      <c r="H3" s="28"/>
      <c r="I3" s="28"/>
      <c r="J3" s="28"/>
    </row>
    <row r="4" spans="2:10" ht="12.75">
      <c r="B4" s="471"/>
      <c r="C4" s="472" t="s">
        <v>28</v>
      </c>
      <c r="D4" s="472" t="s">
        <v>26</v>
      </c>
      <c r="E4" s="473" t="s">
        <v>455</v>
      </c>
      <c r="F4" s="498" t="s">
        <v>7</v>
      </c>
      <c r="G4" s="499"/>
      <c r="H4" s="499"/>
      <c r="I4" s="500"/>
      <c r="J4" s="474" t="s">
        <v>2</v>
      </c>
    </row>
    <row r="5" spans="2:10" ht="12.75">
      <c r="B5" s="475"/>
      <c r="C5" s="468" t="s">
        <v>29</v>
      </c>
      <c r="D5" s="468" t="s">
        <v>27</v>
      </c>
      <c r="E5" s="213" t="s">
        <v>456</v>
      </c>
      <c r="F5" s="445" t="s">
        <v>8</v>
      </c>
      <c r="G5" s="447" t="s">
        <v>8</v>
      </c>
      <c r="H5" s="444" t="s">
        <v>11</v>
      </c>
      <c r="I5" s="444"/>
      <c r="J5" s="476" t="s">
        <v>3</v>
      </c>
    </row>
    <row r="6" spans="2:10" ht="12.75">
      <c r="B6" s="477" t="s">
        <v>5</v>
      </c>
      <c r="C6" s="468" t="s">
        <v>30</v>
      </c>
      <c r="D6" s="468" t="s">
        <v>452</v>
      </c>
      <c r="E6" s="213" t="s">
        <v>3</v>
      </c>
      <c r="F6" s="443" t="s">
        <v>457</v>
      </c>
      <c r="G6" s="446" t="s">
        <v>9</v>
      </c>
      <c r="H6" s="446" t="s">
        <v>12</v>
      </c>
      <c r="I6" s="446" t="s">
        <v>13</v>
      </c>
      <c r="J6" s="476"/>
    </row>
    <row r="7" spans="2:10" ht="13.5" thickBot="1">
      <c r="B7" s="478"/>
      <c r="C7" s="479"/>
      <c r="D7" s="479" t="s">
        <v>453</v>
      </c>
      <c r="E7" s="469"/>
      <c r="F7" s="458" t="s">
        <v>458</v>
      </c>
      <c r="G7" s="459" t="s">
        <v>10</v>
      </c>
      <c r="H7" s="459"/>
      <c r="I7" s="459"/>
      <c r="J7" s="470"/>
    </row>
    <row r="8" spans="2:10" ht="12" customHeight="1" thickBot="1">
      <c r="B8" s="261">
        <v>1</v>
      </c>
      <c r="C8" s="262">
        <v>2</v>
      </c>
      <c r="D8" s="262">
        <v>3</v>
      </c>
      <c r="E8" s="480" t="s">
        <v>0</v>
      </c>
      <c r="F8" s="480" t="s">
        <v>1</v>
      </c>
      <c r="G8" s="480" t="s">
        <v>14</v>
      </c>
      <c r="H8" s="480" t="s">
        <v>15</v>
      </c>
      <c r="I8" s="480" t="s">
        <v>16</v>
      </c>
      <c r="J8" s="481" t="s">
        <v>21</v>
      </c>
    </row>
    <row r="9" spans="2:10" ht="12" customHeight="1">
      <c r="B9" s="411" t="s">
        <v>32</v>
      </c>
      <c r="C9" s="371" t="s">
        <v>39</v>
      </c>
      <c r="D9" s="371"/>
      <c r="E9" s="395">
        <f>E16</f>
        <v>386564</v>
      </c>
      <c r="F9" s="395">
        <f>F33</f>
        <v>-543356.1400000001</v>
      </c>
      <c r="G9" s="395"/>
      <c r="H9" s="395"/>
      <c r="I9" s="395">
        <f>I33</f>
        <v>-543356.1400000001</v>
      </c>
      <c r="J9" s="396">
        <f>E9</f>
        <v>386564</v>
      </c>
    </row>
    <row r="10" spans="2:10" ht="12" customHeight="1">
      <c r="B10" s="73" t="s">
        <v>42</v>
      </c>
      <c r="C10" s="136"/>
      <c r="D10" s="136"/>
      <c r="E10" s="72"/>
      <c r="F10" s="72"/>
      <c r="G10" s="72"/>
      <c r="H10" s="72"/>
      <c r="I10" s="72"/>
      <c r="J10" s="74"/>
    </row>
    <row r="11" spans="2:10" ht="14.25" customHeight="1">
      <c r="B11" s="372" t="s">
        <v>45</v>
      </c>
      <c r="C11" s="373" t="s">
        <v>43</v>
      </c>
      <c r="D11" s="374"/>
      <c r="E11" s="398" t="s">
        <v>288</v>
      </c>
      <c r="F11" s="398" t="s">
        <v>288</v>
      </c>
      <c r="G11" s="398"/>
      <c r="H11" s="398"/>
      <c r="I11" s="398" t="s">
        <v>288</v>
      </c>
      <c r="J11" s="399" t="s">
        <v>288</v>
      </c>
    </row>
    <row r="12" spans="2:10" ht="9" customHeight="1">
      <c r="B12" s="73" t="s">
        <v>41</v>
      </c>
      <c r="C12" s="136"/>
      <c r="D12" s="71"/>
      <c r="E12" s="393"/>
      <c r="F12" s="393"/>
      <c r="G12" s="393"/>
      <c r="H12" s="393"/>
      <c r="I12" s="393"/>
      <c r="J12" s="400"/>
    </row>
    <row r="13" spans="2:10" ht="13.5" customHeight="1">
      <c r="B13" s="375" t="s">
        <v>91</v>
      </c>
      <c r="C13" s="376"/>
      <c r="D13" s="71"/>
      <c r="E13" s="393"/>
      <c r="F13" s="393"/>
      <c r="G13" s="393"/>
      <c r="H13" s="393"/>
      <c r="I13" s="393"/>
      <c r="J13" s="400"/>
    </row>
    <row r="14" spans="2:10" ht="13.5" customHeight="1">
      <c r="B14" s="372" t="s">
        <v>44</v>
      </c>
      <c r="C14" s="373" t="s">
        <v>46</v>
      </c>
      <c r="D14" s="374"/>
      <c r="E14" s="398" t="s">
        <v>288</v>
      </c>
      <c r="F14" s="398" t="s">
        <v>288</v>
      </c>
      <c r="G14" s="398"/>
      <c r="H14" s="398"/>
      <c r="I14" s="398" t="s">
        <v>288</v>
      </c>
      <c r="J14" s="399" t="s">
        <v>288</v>
      </c>
    </row>
    <row r="15" spans="2:10" ht="10.5" customHeight="1">
      <c r="B15" s="73" t="s">
        <v>41</v>
      </c>
      <c r="C15" s="136"/>
      <c r="D15" s="71"/>
      <c r="E15" s="72"/>
      <c r="F15" s="72"/>
      <c r="G15" s="72"/>
      <c r="H15" s="72"/>
      <c r="I15" s="72"/>
      <c r="J15" s="74"/>
    </row>
    <row r="16" spans="2:10" ht="15" customHeight="1">
      <c r="B16" s="377" t="s">
        <v>289</v>
      </c>
      <c r="C16" s="401" t="s">
        <v>40</v>
      </c>
      <c r="D16" s="378"/>
      <c r="E16" s="379">
        <f>E25+E17</f>
        <v>386564</v>
      </c>
      <c r="F16" s="391" t="s">
        <v>291</v>
      </c>
      <c r="G16" s="380"/>
      <c r="H16" s="380"/>
      <c r="I16" s="380"/>
      <c r="J16" s="397">
        <f>E16-I16</f>
        <v>386564</v>
      </c>
    </row>
    <row r="17" spans="2:10" ht="15" customHeight="1">
      <c r="B17" s="282" t="s">
        <v>290</v>
      </c>
      <c r="C17" s="278" t="s">
        <v>89</v>
      </c>
      <c r="D17" s="279"/>
      <c r="E17" s="382">
        <f>E19</f>
        <v>-10032536</v>
      </c>
      <c r="F17" s="383" t="s">
        <v>291</v>
      </c>
      <c r="G17" s="280"/>
      <c r="H17" s="280"/>
      <c r="I17" s="280"/>
      <c r="J17" s="384" t="s">
        <v>291</v>
      </c>
    </row>
    <row r="18" spans="2:10" ht="12.75" customHeight="1">
      <c r="B18" s="73" t="s">
        <v>292</v>
      </c>
      <c r="C18" s="136"/>
      <c r="D18" s="71"/>
      <c r="E18" s="281"/>
      <c r="F18" s="72"/>
      <c r="G18" s="72"/>
      <c r="H18" s="72"/>
      <c r="I18" s="72"/>
      <c r="J18" s="74"/>
    </row>
    <row r="19" spans="2:10" ht="26.25" customHeight="1">
      <c r="B19" s="73" t="s">
        <v>293</v>
      </c>
      <c r="C19" s="136"/>
      <c r="D19" s="385" t="s">
        <v>142</v>
      </c>
      <c r="E19" s="281">
        <f>E24</f>
        <v>-10032536</v>
      </c>
      <c r="F19" s="387" t="s">
        <v>291</v>
      </c>
      <c r="G19" s="387" t="s">
        <v>294</v>
      </c>
      <c r="H19" s="387" t="s">
        <v>294</v>
      </c>
      <c r="I19" s="387" t="s">
        <v>294</v>
      </c>
      <c r="J19" s="388" t="s">
        <v>291</v>
      </c>
    </row>
    <row r="20" spans="2:10" ht="23.25" customHeight="1" hidden="1">
      <c r="B20" s="73" t="s">
        <v>295</v>
      </c>
      <c r="C20" s="136"/>
      <c r="D20" s="385" t="s">
        <v>143</v>
      </c>
      <c r="E20" s="386"/>
      <c r="F20" s="387" t="s">
        <v>291</v>
      </c>
      <c r="G20" s="387" t="s">
        <v>294</v>
      </c>
      <c r="H20" s="387" t="s">
        <v>294</v>
      </c>
      <c r="I20" s="387" t="s">
        <v>294</v>
      </c>
      <c r="J20" s="388" t="s">
        <v>291</v>
      </c>
    </row>
    <row r="21" spans="2:10" ht="21.75" customHeight="1" hidden="1">
      <c r="B21" s="73" t="s">
        <v>296</v>
      </c>
      <c r="C21" s="136"/>
      <c r="D21" s="385" t="s">
        <v>144</v>
      </c>
      <c r="E21" s="386"/>
      <c r="F21" s="387" t="s">
        <v>291</v>
      </c>
      <c r="G21" s="387" t="s">
        <v>294</v>
      </c>
      <c r="H21" s="387" t="s">
        <v>294</v>
      </c>
      <c r="I21" s="387" t="s">
        <v>294</v>
      </c>
      <c r="J21" s="388" t="s">
        <v>291</v>
      </c>
    </row>
    <row r="22" spans="2:10" ht="21.75" customHeight="1" hidden="1">
      <c r="B22" s="73" t="s">
        <v>297</v>
      </c>
      <c r="C22" s="136"/>
      <c r="D22" s="385" t="s">
        <v>145</v>
      </c>
      <c r="E22" s="386"/>
      <c r="F22" s="387" t="s">
        <v>291</v>
      </c>
      <c r="G22" s="387" t="s">
        <v>294</v>
      </c>
      <c r="H22" s="387" t="s">
        <v>294</v>
      </c>
      <c r="I22" s="387" t="s">
        <v>294</v>
      </c>
      <c r="J22" s="388" t="s">
        <v>291</v>
      </c>
    </row>
    <row r="23" spans="2:10" ht="24.75" customHeight="1" hidden="1">
      <c r="B23" s="73" t="s">
        <v>298</v>
      </c>
      <c r="C23" s="136"/>
      <c r="D23" s="385" t="s">
        <v>146</v>
      </c>
      <c r="E23" s="386"/>
      <c r="F23" s="387" t="s">
        <v>291</v>
      </c>
      <c r="G23" s="387" t="s">
        <v>294</v>
      </c>
      <c r="H23" s="387" t="s">
        <v>294</v>
      </c>
      <c r="I23" s="387" t="s">
        <v>294</v>
      </c>
      <c r="J23" s="388" t="s">
        <v>291</v>
      </c>
    </row>
    <row r="24" spans="2:10" ht="24" customHeight="1">
      <c r="B24" s="73" t="s">
        <v>299</v>
      </c>
      <c r="C24" s="136"/>
      <c r="D24" s="385" t="s">
        <v>147</v>
      </c>
      <c r="E24" s="281">
        <f>-9353936-(673000+600+5000)</f>
        <v>-10032536</v>
      </c>
      <c r="F24" s="387" t="s">
        <v>291</v>
      </c>
      <c r="G24" s="387" t="s">
        <v>294</v>
      </c>
      <c r="H24" s="387" t="s">
        <v>294</v>
      </c>
      <c r="I24" s="387" t="s">
        <v>294</v>
      </c>
      <c r="J24" s="388" t="s">
        <v>291</v>
      </c>
    </row>
    <row r="25" spans="2:10" ht="15" customHeight="1">
      <c r="B25" s="282" t="s">
        <v>300</v>
      </c>
      <c r="C25" s="278" t="s">
        <v>90</v>
      </c>
      <c r="D25" s="279"/>
      <c r="E25" s="382">
        <f>E27</f>
        <v>10419100</v>
      </c>
      <c r="F25" s="383" t="s">
        <v>291</v>
      </c>
      <c r="G25" s="280"/>
      <c r="H25" s="280"/>
      <c r="I25" s="280"/>
      <c r="J25" s="389" t="s">
        <v>291</v>
      </c>
    </row>
    <row r="26" spans="2:10" ht="15" customHeight="1">
      <c r="B26" s="73" t="s">
        <v>292</v>
      </c>
      <c r="C26" s="136"/>
      <c r="D26" s="71"/>
      <c r="E26" s="72"/>
      <c r="F26" s="72"/>
      <c r="G26" s="72"/>
      <c r="H26" s="72"/>
      <c r="I26" s="72"/>
      <c r="J26" s="74"/>
    </row>
    <row r="27" spans="2:10" ht="25.5" customHeight="1">
      <c r="B27" s="73" t="s">
        <v>293</v>
      </c>
      <c r="C27" s="136"/>
      <c r="D27" s="385" t="s">
        <v>142</v>
      </c>
      <c r="E27" s="386">
        <f>E28</f>
        <v>10419100</v>
      </c>
      <c r="F27" s="387" t="s">
        <v>291</v>
      </c>
      <c r="G27" s="387" t="s">
        <v>294</v>
      </c>
      <c r="H27" s="387" t="s">
        <v>294</v>
      </c>
      <c r="I27" s="387" t="s">
        <v>294</v>
      </c>
      <c r="J27" s="388" t="s">
        <v>291</v>
      </c>
    </row>
    <row r="28" spans="2:10" ht="22.5" customHeight="1" hidden="1">
      <c r="B28" s="73" t="s">
        <v>295</v>
      </c>
      <c r="C28" s="136"/>
      <c r="D28" s="385" t="s">
        <v>143</v>
      </c>
      <c r="E28" s="386">
        <f>E29</f>
        <v>10419100</v>
      </c>
      <c r="F28" s="387" t="s">
        <v>291</v>
      </c>
      <c r="G28" s="387" t="s">
        <v>294</v>
      </c>
      <c r="H28" s="387" t="s">
        <v>294</v>
      </c>
      <c r="I28" s="387" t="s">
        <v>294</v>
      </c>
      <c r="J28" s="388" t="s">
        <v>291</v>
      </c>
    </row>
    <row r="29" spans="2:10" ht="15" customHeight="1" hidden="1">
      <c r="B29" s="73" t="s">
        <v>139</v>
      </c>
      <c r="C29" s="136"/>
      <c r="D29" s="385" t="s">
        <v>148</v>
      </c>
      <c r="E29" s="386">
        <f>E30</f>
        <v>10419100</v>
      </c>
      <c r="F29" s="387" t="s">
        <v>291</v>
      </c>
      <c r="G29" s="387" t="s">
        <v>294</v>
      </c>
      <c r="H29" s="387" t="s">
        <v>294</v>
      </c>
      <c r="I29" s="387" t="s">
        <v>294</v>
      </c>
      <c r="J29" s="388" t="s">
        <v>291</v>
      </c>
    </row>
    <row r="30" spans="2:10" ht="15" customHeight="1" hidden="1">
      <c r="B30" s="73" t="s">
        <v>140</v>
      </c>
      <c r="C30" s="136"/>
      <c r="D30" s="385" t="s">
        <v>149</v>
      </c>
      <c r="E30" s="386">
        <f>E31</f>
        <v>10419100</v>
      </c>
      <c r="F30" s="387" t="s">
        <v>291</v>
      </c>
      <c r="G30" s="387" t="s">
        <v>294</v>
      </c>
      <c r="H30" s="387" t="s">
        <v>294</v>
      </c>
      <c r="I30" s="387" t="s">
        <v>294</v>
      </c>
      <c r="J30" s="388" t="s">
        <v>291</v>
      </c>
    </row>
    <row r="31" spans="2:10" ht="24.75" customHeight="1" hidden="1">
      <c r="B31" s="73" t="s">
        <v>141</v>
      </c>
      <c r="C31" s="136"/>
      <c r="D31" s="385" t="s">
        <v>150</v>
      </c>
      <c r="E31" s="386">
        <f>E32</f>
        <v>10419100</v>
      </c>
      <c r="F31" s="387" t="s">
        <v>291</v>
      </c>
      <c r="G31" s="387" t="s">
        <v>294</v>
      </c>
      <c r="H31" s="387" t="s">
        <v>294</v>
      </c>
      <c r="I31" s="387" t="s">
        <v>294</v>
      </c>
      <c r="J31" s="388" t="s">
        <v>291</v>
      </c>
    </row>
    <row r="32" spans="2:10" ht="24.75" customHeight="1">
      <c r="B32" s="73" t="s">
        <v>301</v>
      </c>
      <c r="C32" s="136"/>
      <c r="D32" s="385" t="s">
        <v>151</v>
      </c>
      <c r="E32" s="386">
        <f>9745500+673600</f>
        <v>10419100</v>
      </c>
      <c r="F32" s="387" t="s">
        <v>291</v>
      </c>
      <c r="G32" s="387" t="s">
        <v>294</v>
      </c>
      <c r="H32" s="387" t="s">
        <v>294</v>
      </c>
      <c r="I32" s="387" t="s">
        <v>294</v>
      </c>
      <c r="J32" s="388" t="s">
        <v>291</v>
      </c>
    </row>
    <row r="33" spans="2:10" ht="15" customHeight="1">
      <c r="B33" s="377" t="s">
        <v>73</v>
      </c>
      <c r="C33" s="401" t="s">
        <v>74</v>
      </c>
      <c r="D33" s="378"/>
      <c r="E33" s="379">
        <f>E34+E37</f>
        <v>0</v>
      </c>
      <c r="F33" s="379">
        <f>F34+F37</f>
        <v>-543356.1400000001</v>
      </c>
      <c r="G33" s="379"/>
      <c r="H33" s="379"/>
      <c r="I33" s="379">
        <f>I34+I37</f>
        <v>-543356.1400000001</v>
      </c>
      <c r="J33" s="381" t="s">
        <v>133</v>
      </c>
    </row>
    <row r="34" spans="2:10" ht="23.25" customHeight="1">
      <c r="B34" s="282" t="s">
        <v>75</v>
      </c>
      <c r="C34" s="278" t="s">
        <v>76</v>
      </c>
      <c r="D34" s="279"/>
      <c r="E34" s="382">
        <f>E35-E36</f>
        <v>0</v>
      </c>
      <c r="F34" s="382">
        <f>F35+F36</f>
        <v>-543356.1400000001</v>
      </c>
      <c r="G34" s="382"/>
      <c r="H34" s="382"/>
      <c r="I34" s="382">
        <f>I35+I36</f>
        <v>-543356.1400000001</v>
      </c>
      <c r="J34" s="283" t="s">
        <v>133</v>
      </c>
    </row>
    <row r="35" spans="2:10" ht="22.5" customHeight="1">
      <c r="B35" s="73" t="s">
        <v>77</v>
      </c>
      <c r="C35" s="136" t="s">
        <v>78</v>
      </c>
      <c r="D35" s="71"/>
      <c r="E35" s="392"/>
      <c r="F35" s="392">
        <f>-(365363.25+78821.47+392272.07+991573.12+925348.56+228858.55)</f>
        <v>-2982237.02</v>
      </c>
      <c r="G35" s="393"/>
      <c r="H35" s="393"/>
      <c r="I35" s="393">
        <f>F35+G35+H35</f>
        <v>-2982237.02</v>
      </c>
      <c r="J35" s="74" t="s">
        <v>133</v>
      </c>
    </row>
    <row r="36" spans="2:10" ht="21.75" customHeight="1">
      <c r="B36" s="73" t="s">
        <v>79</v>
      </c>
      <c r="C36" s="136" t="s">
        <v>80</v>
      </c>
      <c r="D36" s="71"/>
      <c r="E36" s="392"/>
      <c r="F36" s="393">
        <f>67300+466208.97+671365.63+367260+173209.83+693536.45</f>
        <v>2438880.88</v>
      </c>
      <c r="G36" s="393"/>
      <c r="H36" s="393"/>
      <c r="I36" s="393">
        <f>F36+G36+H36</f>
        <v>2438880.88</v>
      </c>
      <c r="J36" s="74" t="s">
        <v>133</v>
      </c>
    </row>
    <row r="37" spans="2:10" ht="15" customHeight="1">
      <c r="B37" s="282" t="s">
        <v>302</v>
      </c>
      <c r="C37" s="278" t="s">
        <v>81</v>
      </c>
      <c r="D37" s="279"/>
      <c r="E37" s="382">
        <f>E38-E39</f>
        <v>0</v>
      </c>
      <c r="F37" s="382">
        <f>F38-F39</f>
        <v>0</v>
      </c>
      <c r="G37" s="382"/>
      <c r="H37" s="382"/>
      <c r="I37" s="382">
        <f>I38-I39</f>
        <v>0</v>
      </c>
      <c r="J37" s="283" t="s">
        <v>133</v>
      </c>
    </row>
    <row r="38" spans="2:10" ht="21.75" customHeight="1">
      <c r="B38" s="73" t="s">
        <v>303</v>
      </c>
      <c r="C38" s="136" t="s">
        <v>82</v>
      </c>
      <c r="D38" s="71"/>
      <c r="E38" s="393"/>
      <c r="F38" s="393">
        <v>0</v>
      </c>
      <c r="G38" s="393"/>
      <c r="H38" s="393"/>
      <c r="I38" s="393"/>
      <c r="J38" s="74"/>
    </row>
    <row r="39" spans="2:10" ht="23.25" thickBot="1">
      <c r="B39" s="412" t="s">
        <v>83</v>
      </c>
      <c r="C39" s="284" t="s">
        <v>84</v>
      </c>
      <c r="D39" s="75"/>
      <c r="E39" s="394"/>
      <c r="F39" s="394">
        <v>0</v>
      </c>
      <c r="G39" s="394"/>
      <c r="H39" s="394"/>
      <c r="I39" s="394"/>
      <c r="J39" s="76"/>
    </row>
    <row r="40" spans="2:10" ht="12.75">
      <c r="B40" s="24"/>
      <c r="C40" s="24"/>
      <c r="D40" s="30"/>
      <c r="E40" s="8"/>
      <c r="F40" s="8"/>
      <c r="G40" s="8"/>
      <c r="H40" s="8"/>
      <c r="I40" s="8"/>
      <c r="J40" s="8"/>
    </row>
    <row r="41" spans="2:10" ht="12" customHeight="1">
      <c r="B41" s="24" t="s">
        <v>85</v>
      </c>
      <c r="C41" s="501" t="s">
        <v>137</v>
      </c>
      <c r="D41" s="501"/>
      <c r="E41" s="12"/>
      <c r="F41" s="12" t="s">
        <v>35</v>
      </c>
      <c r="G41" s="8"/>
      <c r="H41" s="8"/>
      <c r="I41" s="8"/>
      <c r="J41" s="8"/>
    </row>
    <row r="42" spans="2:10" ht="12" customHeight="1">
      <c r="B42" s="45" t="s">
        <v>304</v>
      </c>
      <c r="C42" s="390" t="s">
        <v>305</v>
      </c>
      <c r="D42" s="41"/>
      <c r="E42" s="4"/>
      <c r="F42" s="4" t="s">
        <v>36</v>
      </c>
      <c r="G42" s="4"/>
      <c r="H42" s="4"/>
      <c r="I42" s="4"/>
      <c r="J42" s="4"/>
    </row>
    <row r="43" spans="2:10" ht="9.75" customHeight="1">
      <c r="B43" s="31"/>
      <c r="C43" s="31"/>
      <c r="D43" s="31"/>
      <c r="E43" s="4"/>
      <c r="F43" s="4"/>
      <c r="G43" s="6" t="s">
        <v>38</v>
      </c>
      <c r="I43" s="4"/>
      <c r="J43" s="4"/>
    </row>
    <row r="44" spans="2:10" ht="13.5" customHeight="1">
      <c r="B44" s="25" t="s">
        <v>86</v>
      </c>
      <c r="C44" s="70" t="s">
        <v>136</v>
      </c>
      <c r="D44" s="70"/>
      <c r="E44" s="4"/>
      <c r="F44" s="4"/>
      <c r="G44" s="4"/>
      <c r="H44" s="4"/>
      <c r="I44" s="4"/>
      <c r="J44" s="4"/>
    </row>
    <row r="45" spans="2:10" ht="10.5" customHeight="1">
      <c r="B45" s="45" t="s">
        <v>306</v>
      </c>
      <c r="C45" s="45" t="s">
        <v>305</v>
      </c>
      <c r="D45" s="41"/>
      <c r="E45" s="7"/>
      <c r="F45" s="7"/>
      <c r="G45" s="7"/>
      <c r="H45" s="7"/>
      <c r="I45" s="7"/>
      <c r="J45" s="4"/>
    </row>
    <row r="46" spans="2:10" ht="18" customHeight="1">
      <c r="B46" s="5"/>
      <c r="C46" s="5"/>
      <c r="D46" s="11"/>
      <c r="E46" s="4"/>
      <c r="G46" s="4"/>
      <c r="H46" s="4"/>
      <c r="I46" s="4"/>
      <c r="J46" s="413" t="s">
        <v>47</v>
      </c>
    </row>
    <row r="47" spans="2:10" ht="9.75" customHeight="1">
      <c r="B47" s="45" t="s">
        <v>307</v>
      </c>
      <c r="E47" s="9"/>
      <c r="F47" s="4"/>
      <c r="G47" s="4"/>
      <c r="H47" s="4"/>
      <c r="I47" s="4"/>
      <c r="J47" s="414" t="s">
        <v>425</v>
      </c>
    </row>
    <row r="48" spans="2:10" ht="9.75" customHeight="1">
      <c r="B48" s="31"/>
      <c r="E48" s="9"/>
      <c r="F48" s="4"/>
      <c r="G48" s="414"/>
      <c r="H48" s="414" t="s">
        <v>426</v>
      </c>
      <c r="I48" s="4"/>
      <c r="J48" s="414"/>
    </row>
    <row r="49" spans="2:10" ht="12.75">
      <c r="B49" s="6" t="s">
        <v>108</v>
      </c>
      <c r="C49" s="6"/>
      <c r="D49" s="3"/>
      <c r="E49" s="14"/>
      <c r="F49" s="15"/>
      <c r="G49" s="15"/>
      <c r="H49" s="15"/>
      <c r="I49" s="15"/>
      <c r="J49" s="415"/>
    </row>
  </sheetData>
  <sheetProtection/>
  <mergeCells count="2">
    <mergeCell ref="F4:I4"/>
    <mergeCell ref="C41:D41"/>
  </mergeCells>
  <printOptions gridLines="1"/>
  <pageMargins left="0.3937007874015748" right="0.3937007874015748" top="0.56" bottom="0.3937007874015748" header="0" footer="0"/>
  <pageSetup horizontalDpi="600" verticalDpi="600" orientation="landscape" pageOrder="overThenDown" paperSize="9" scale="83" r:id="rId1"/>
  <headerFooter alignWithMargins="0">
    <oddHeader>&amp;C&amp;A&amp;RСтраница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GlBuh</cp:lastModifiedBy>
  <cp:lastPrinted>2018-06-07T15:43:44Z</cp:lastPrinted>
  <dcterms:created xsi:type="dcterms:W3CDTF">1999-06-18T11:49:53Z</dcterms:created>
  <dcterms:modified xsi:type="dcterms:W3CDTF">2018-07-04T19:37:41Z</dcterms:modified>
  <cp:category/>
  <cp:version/>
  <cp:contentType/>
  <cp:contentStatus/>
</cp:coreProperties>
</file>