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  <sheet name="источ.финансирования" sheetId="3" r:id="rId3"/>
  </sheets>
  <definedNames>
    <definedName name="_xlnm.Print_Area" localSheetId="0">'доходы'!$A$1:$I$90</definedName>
    <definedName name="_xlnm.Print_Titles" localSheetId="0">'доходы'!$19:$23</definedName>
    <definedName name="_xlnm.Print_Area" localSheetId="2">'источ.финансирования'!$A$1:$J$50</definedName>
    <definedName name="_xlnm.Print_Titles" localSheetId="1">'расходы'!$5:$10</definedName>
  </definedNames>
  <calcPr fullCalcOnLoad="1"/>
</workbook>
</file>

<file path=xl/sharedStrings.xml><?xml version="1.0" encoding="utf-8"?>
<sst xmlns="http://schemas.openxmlformats.org/spreadsheetml/2006/main" count="793" uniqueCount="514">
  <si>
    <t xml:space="preserve">           ОТЧЕТ  ОБ  ИСПОЛНЕНИИ БЮДЖЕТА       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</si>
  <si>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</si>
  <si>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</si>
  <si>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</si>
  <si>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КОДЫ</t>
  </si>
  <si>
    <t>Форма по ОКУД</t>
  </si>
  <si>
    <t>0503127</t>
  </si>
  <si>
    <r>
      <rPr>
        <b/>
        <sz val="10"/>
        <rFont val="Arial"/>
        <family val="2"/>
      </rPr>
      <t xml:space="preserve">на  </t>
    </r>
    <r>
      <rPr>
        <b/>
        <sz val="10"/>
        <color indexed="10"/>
        <rFont val="Arial"/>
        <family val="2"/>
      </rPr>
      <t xml:space="preserve"> 1</t>
    </r>
  </si>
  <si>
    <t>января</t>
  </si>
  <si>
    <t>2019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</si>
  <si>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</si>
  <si>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</si>
  <si>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</si>
  <si>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</si>
  <si>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ИНН</t>
  </si>
  <si>
    <t>3403020654</t>
  </si>
  <si>
    <t>финансирования дефицита бюджета</t>
  </si>
  <si>
    <t>Администрация Царицынского сельского поселения</t>
  </si>
  <si>
    <t>по ОКПО</t>
  </si>
  <si>
    <t>04125320</t>
  </si>
  <si>
    <t>Глава по БК</t>
  </si>
  <si>
    <t>959</t>
  </si>
  <si>
    <t>Наименование бюджета</t>
  </si>
  <si>
    <t>Бюджет Царицынского сельского поселения</t>
  </si>
  <si>
    <t>по ОКТМО</t>
  </si>
  <si>
    <t>18605445</t>
  </si>
  <si>
    <r>
      <rPr>
        <sz val="10"/>
        <rFont val="Arial"/>
        <family val="2"/>
      </rPr>
      <t>Периодичность:</t>
    </r>
    <r>
      <rPr>
        <b/>
        <sz val="10"/>
        <color indexed="12"/>
        <rFont val="Arial"/>
        <family val="2"/>
      </rPr>
      <t xml:space="preserve"> месячная</t>
    </r>
  </si>
  <si>
    <r>
      <rPr>
        <sz val="10"/>
        <rFont val="Arial"/>
        <family val="2"/>
      </rPr>
      <t>Единица измерения:</t>
    </r>
    <r>
      <rPr>
        <b/>
        <sz val="10"/>
        <color indexed="12"/>
        <rFont val="Arial"/>
        <family val="2"/>
      </rPr>
      <t xml:space="preserve"> руб.</t>
    </r>
  </si>
  <si>
    <t>по ОКЕИ</t>
  </si>
  <si>
    <t>383</t>
  </si>
  <si>
    <t xml:space="preserve"> 1. Доходы бюджета</t>
  </si>
  <si>
    <t>Код</t>
  </si>
  <si>
    <t xml:space="preserve">Код дохода </t>
  </si>
  <si>
    <t>Утвержденные</t>
  </si>
  <si>
    <t xml:space="preserve">         Исполнено</t>
  </si>
  <si>
    <t>Неисполненные</t>
  </si>
  <si>
    <t xml:space="preserve"> Наименование показателя</t>
  </si>
  <si>
    <t>строки</t>
  </si>
  <si>
    <t>по бюджетной</t>
  </si>
  <si>
    <t>бюджетные</t>
  </si>
  <si>
    <t xml:space="preserve">через </t>
  </si>
  <si>
    <t>через</t>
  </si>
  <si>
    <t>некас-</t>
  </si>
  <si>
    <t>итого</t>
  </si>
  <si>
    <t>назначения</t>
  </si>
  <si>
    <t>классификации</t>
  </si>
  <si>
    <t>финансовые</t>
  </si>
  <si>
    <t>банковские</t>
  </si>
  <si>
    <t>совые</t>
  </si>
  <si>
    <t>органы</t>
  </si>
  <si>
    <t>счета</t>
  </si>
  <si>
    <t>операции</t>
  </si>
  <si>
    <t>4</t>
  </si>
  <si>
    <t>5</t>
  </si>
  <si>
    <t>6</t>
  </si>
  <si>
    <t>7</t>
  </si>
  <si>
    <t>8</t>
  </si>
  <si>
    <t>9</t>
  </si>
  <si>
    <t>ДОХОДЫ БЮДЖЕТА. ВСЕГО</t>
  </si>
  <si>
    <t>010</t>
  </si>
  <si>
    <t>х</t>
  </si>
  <si>
    <t xml:space="preserve">  в том числе:</t>
  </si>
  <si>
    <t>Налоговые и неналоговые доходы</t>
  </si>
  <si>
    <t>959 1 00 00000 00 0000 000</t>
  </si>
  <si>
    <t>Налоги на прибыль, доходы</t>
  </si>
  <si>
    <t>959 1 01 00000 00 0000 000</t>
  </si>
  <si>
    <t>Налог на доходы физических лиц</t>
  </si>
  <si>
    <t>959 1 01 02000 01 0000 110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</si>
  <si>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</si>
  <si>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959 1 01 02010 01 0000 110</t>
  </si>
  <si>
    <r>
      <rPr>
        <sz val="8"/>
        <rFont val="Arial Cyr"/>
        <family val="0"/>
      </rPr>
      <t>Сумма налога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и 228 Налогового кодекса Российской Федерации</t>
    </r>
  </si>
  <si>
    <t>959 1 01 02010 01 1000 110</t>
  </si>
  <si>
    <r>
      <rPr>
        <sz val="8"/>
        <rFont val="Arial Cyr"/>
        <family val="0"/>
      </rPr>
  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 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и 228 НК РФ</t>
    </r>
  </si>
  <si>
    <t>959 1 01 02010 01 2100 110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</si>
  <si>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НК РФ</t>
  </si>
  <si>
    <t>182 1 01 02010 01 3000 110</t>
  </si>
  <si>
    <t xml:space="preserve">НДФЛ с доходов, полученных гражданами, 
зарегистрированными в качестве:
– индивидуальных предпринимателей
– частных нотариусов
– других лиц, занимающихся частной практикой
в соответствии со статьей 227 НК РФ
</t>
  </si>
  <si>
    <t>959 1 01 02020 01 1000 110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</si>
  <si>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</si>
  <si>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959 1 01 02030 01 1000 110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</si>
  <si>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</si>
  <si>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959 1 01 02030 01 2100 110</t>
  </si>
  <si>
    <t xml:space="preserve">Суммы денежных взысканий (штрафов) по налогу на доходы физических лиц с доходов,  полученных физическими лицами в соответствии со статьей 228 Налогового Кодекса Российской Федерации </t>
  </si>
  <si>
    <t>959 1 01 02030 01 3000 110</t>
  </si>
  <si>
    <r>
      <rPr>
        <sz val="8"/>
        <rFont val="Arial Cyr"/>
        <family val="0"/>
      </rP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Налогового кодекса Российской Федерации</t>
    </r>
  </si>
  <si>
    <t>959 1 01 02040 01 1000 110</t>
  </si>
  <si>
    <t>Налоги на совокупный доход</t>
  </si>
  <si>
    <t>959 1 05 00000 00 0000 000</t>
  </si>
  <si>
    <t>Единый сельскохозяйственный налог</t>
  </si>
  <si>
    <t>959 1 05 03000 01 0000 110</t>
  </si>
  <si>
    <t>Налоги на имущество</t>
  </si>
  <si>
    <t>959 1 06 00000 00 0000 000</t>
  </si>
  <si>
    <t>Налог на имущество физических лиц</t>
  </si>
  <si>
    <t>959 1 06 01000 00 0000 110</t>
  </si>
  <si>
    <t>Налог на имущество физических лиц, взимаемый по ставкам, применяемым к объекту налогообложения, расположенным в границах сельских поселений</t>
  </si>
  <si>
    <t>959 1 06 01030 10 1000 110</t>
  </si>
  <si>
    <t>Пени по налогу на имущество физических лиц, взимаемому по ставкам, применяемым к объектам налогообложения, расположенным в границах сельских поселений</t>
  </si>
  <si>
    <t>959 1 06 01030 10 2100 110</t>
  </si>
  <si>
    <t>Земельный налог</t>
  </si>
  <si>
    <t>959 1 06 06000 00 0000 110</t>
  </si>
  <si>
    <t>Земельный налог с организаций</t>
  </si>
  <si>
    <t>959 1 06 06030 00 0000 110</t>
  </si>
  <si>
    <t>Земельный налог с организаций, обладающих земельным участком, расположенным в границах сельских поселений</t>
  </si>
  <si>
    <t>959 1 06 06033 10 1000 110</t>
  </si>
  <si>
    <t>Пени по Земельному налогу с организаций, обладающих земельным участком, расположенным в границах сельских поселений</t>
  </si>
  <si>
    <t>959 1 06 06033 10 2100 110</t>
  </si>
  <si>
    <t>Денежные взыскания (штрафы) по земельному налогу с организаций, обладающих земельным участком, расположенным в границах сельских поселений</t>
  </si>
  <si>
    <t>959 1 06 06033 10 3000 110</t>
  </si>
  <si>
    <t>Земельный налог с физических лиц</t>
  </si>
  <si>
    <t>959 1 06 06040 00 0000 110</t>
  </si>
  <si>
    <t>Земельный налог с физических лиц, обладающих земельным участком, расположенным в границах сельских поселений</t>
  </si>
  <si>
    <t>959 1 06 06043 10 1000 110</t>
  </si>
  <si>
    <t>Пени по земельному налогу с физических лиц, обладающих земельным участком, расположенным в границах сельских поселений</t>
  </si>
  <si>
    <t>000 1 06 06043 10 2100 110</t>
  </si>
  <si>
    <t>Государственная пошлина за совершение нотариальных действий должностными лицами органов местного самоуправления</t>
  </si>
  <si>
    <t>959 1 08 04020 01 0000 110</t>
  </si>
  <si>
    <t>Доходы от использования имущества, находящегося в государственной и муниципальной собственности</t>
  </si>
  <si>
    <t>959 1 11 00000 00 0000 000</t>
  </si>
  <si>
    <t>Доходы от сдачи в аренду имущества, находящегося в государственной и муниципальной собственности</t>
  </si>
  <si>
    <t>959 1 11 05000 00 0000 120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</si>
  <si>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 в границах сельских поселений, а также средства от продажи права на заключение договоров аренды указанных земельных участков</t>
  </si>
  <si>
    <t>959 1 11 05013 10 0000 120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</si>
  <si>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</si>
  <si>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000 1 11 05011 00 0000 120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</si>
  <si>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</si>
  <si>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000 1 11 05011 10 0000 120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</si>
  <si>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</si>
  <si>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000 1 11 05010 00 0000 120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</si>
  <si>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</si>
  <si>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</si>
  <si>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959 1 11 05025 10 0000 120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</si>
  <si>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</si>
  <si>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959 1 11 05035 10 0000 120</t>
  </si>
  <si>
    <t>Доходы от оказания платных услуг (работ) и компенсации затрат государства</t>
  </si>
  <si>
    <t>959 1 13 00000 00 0000 130</t>
  </si>
  <si>
    <t xml:space="preserve">Доходы от оказания платных услуг (работ) </t>
  </si>
  <si>
    <t>959 1 13 01000 00 0000 130</t>
  </si>
  <si>
    <t>Прочие доходы от компенсации затрат государства</t>
  </si>
  <si>
    <t>959 1 13 02000 00 0000 130</t>
  </si>
  <si>
    <t>Доходы от продажи материальных и нематериальных активов</t>
  </si>
  <si>
    <t>959 1 14 00000 00 0000 000</t>
  </si>
  <si>
    <t>Доходы от реализации имущества, находящегося в собственности сельских поселений, в части реализации основных средств по указанному имуществу</t>
  </si>
  <si>
    <t>959 1 14 02050 10 0000 410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</si>
  <si>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</si>
  <si>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959 1 14 06013 10 0000 430</t>
  </si>
  <si>
    <t xml:space="preserve">Доходы от продажи земельных участков, находящихся в собственности сельских поселений </t>
  </si>
  <si>
    <t>959 1 14 06025 10 0000 430</t>
  </si>
  <si>
    <t>Штрафы, санкции, возмещение ущерба</t>
  </si>
  <si>
    <t>959 1 16 00000 00 0000 000</t>
  </si>
  <si>
    <t>Денежные взыскания (штрафы), установленные законами субъектов Российской Федерации за несоблюдение муници- пальных правовых актов, зачисляемые в бюджеты поселений</t>
  </si>
  <si>
    <t>802 1 16 51040 02 0000 140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</si>
  <si>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 оказание услуг для нужд сельских поселений</t>
  </si>
  <si>
    <t>827 1 16 33050 10 0000 140</t>
  </si>
  <si>
    <t>Прочие неналоговые доходы</t>
  </si>
  <si>
    <t>959 1 17 00000 00 0000 000</t>
  </si>
  <si>
    <t>Невыясненные поступления</t>
  </si>
  <si>
    <t>959 1 17 01000 00 0000 180</t>
  </si>
  <si>
    <t>Невыясненные поступления, зачисляемые в бюджеты сельских поселений</t>
  </si>
  <si>
    <t>959 1 17 01050 10 0000 180</t>
  </si>
  <si>
    <t>Возмещение потерь сельскохозяйственного производства, связанных с изъятием сельскохозяйственных угодий</t>
  </si>
  <si>
    <t>999 1 17 02000 00 0000 180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</si>
  <si>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</si>
  <si>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999 1 17 02000 10 0000 180</t>
  </si>
  <si>
    <t>Прочие неналоговые доходы бюджетов сельских поселений</t>
  </si>
  <si>
    <t>959 1 17 05050 10 0000 180</t>
  </si>
  <si>
    <t>Безвозмездные поступления</t>
  </si>
  <si>
    <t>959 2 00 00000 00 0000 000</t>
  </si>
  <si>
    <t>Безвозмездные поступления от других бюджетов бюджетной системы Российской Федерации</t>
  </si>
  <si>
    <t>959 2 02 00000 00 0000 000</t>
  </si>
  <si>
    <t>Дотации бюджетам субъектов Российской Федерации и муниципальных образований</t>
  </si>
  <si>
    <t>959 2 02 15000 00 0000 151</t>
  </si>
  <si>
    <t>Дотации бюджетам сельских поселений на выравнивание  бюджетной обеспеченности</t>
  </si>
  <si>
    <t>959 2 02 15001 10 0000 151</t>
  </si>
  <si>
    <t>Субсидии бюджетам субъектов Российской Федерации и муниципальных образований (межбюджетные субсидии)</t>
  </si>
  <si>
    <t>959 2 02 29999 00 0000 151</t>
  </si>
  <si>
    <t>Прочие субсидии сельским поселениям (на сбалансированность местных бюджетов)</t>
  </si>
  <si>
    <t>959 2 02 29999 10 0000 151</t>
  </si>
  <si>
    <t>Субвенции бюджетам субъектов Российской Федерации и муниципальных образований</t>
  </si>
  <si>
    <t>959 2 02 30000 00 0000 151</t>
  </si>
  <si>
    <t>Субвенции бюджетам сельских поселений на выполнение передаваемых полномочий субъектов Российской Федерации</t>
  </si>
  <si>
    <t>959 2 02 30024 10 0000 151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</si>
  <si>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</si>
  <si>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959 2 02 35118 10 0000 151</t>
  </si>
  <si>
    <t>Иные межбюджетные трансферты</t>
  </si>
  <si>
    <t>959 2 02 40000 00 0000 151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</si>
  <si>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</si>
  <si>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959 2 02 40014 10 0000 151</t>
  </si>
  <si>
    <t>Прочие межбюджетные трансферты, передаваемые бюджетам сельских поселений</t>
  </si>
  <si>
    <t>959 2 02 49999 10 0000 151</t>
  </si>
  <si>
    <t>959 8 50 00000 00 0000 000</t>
  </si>
  <si>
    <t>Форма 0503127 с.2</t>
  </si>
  <si>
    <t xml:space="preserve">         2. Расходы бюджета</t>
  </si>
  <si>
    <t xml:space="preserve">Код расхода </t>
  </si>
  <si>
    <t xml:space="preserve">Лимиты </t>
  </si>
  <si>
    <t xml:space="preserve">             Неисполненные </t>
  </si>
  <si>
    <t>стро-</t>
  </si>
  <si>
    <t>бюджетных</t>
  </si>
  <si>
    <t xml:space="preserve">                назначения</t>
  </si>
  <si>
    <t>ки</t>
  </si>
  <si>
    <t>обязательств</t>
  </si>
  <si>
    <t>некассовые</t>
  </si>
  <si>
    <t>по</t>
  </si>
  <si>
    <t>по лимитам</t>
  </si>
  <si>
    <t>ассигно-</t>
  </si>
  <si>
    <t>ваниям</t>
  </si>
  <si>
    <t>10</t>
  </si>
  <si>
    <t>11</t>
  </si>
  <si>
    <t>РАСХОДЫ БЮДЖЕТА. ВСЕГО</t>
  </si>
  <si>
    <t>200</t>
  </si>
  <si>
    <t>в том числе:</t>
  </si>
  <si>
    <t xml:space="preserve"> </t>
  </si>
  <si>
    <t>Общегосударственные вопросы</t>
  </si>
  <si>
    <t>959 0100 00 0 00 00000 000 000</t>
  </si>
  <si>
    <t>расходы</t>
  </si>
  <si>
    <t>959 0100 00 0 00 00000 000 200</t>
  </si>
  <si>
    <t>оплата труда и начисл.на о/т</t>
  </si>
  <si>
    <t>959 0100 00 0 00 00000 000 210</t>
  </si>
  <si>
    <t>заработная плата</t>
  </si>
  <si>
    <t>959 0103 01 0 00 00060 121 211</t>
  </si>
  <si>
    <t>начисл. на зарплату</t>
  </si>
  <si>
    <t>959 0103 01 0 00 00060 129 213</t>
  </si>
  <si>
    <t>оплата работ, услуг</t>
  </si>
  <si>
    <t>959 0100 00 0 00 00000 000 220</t>
  </si>
  <si>
    <t>услуги связи</t>
  </si>
  <si>
    <t>959 0104 01 0 00 20270 244 221</t>
  </si>
  <si>
    <t>транспортные услуги</t>
  </si>
  <si>
    <t>959 0104 01 0 00 20270 244 222</t>
  </si>
  <si>
    <t>коммунальные услуги</t>
  </si>
  <si>
    <t>959 0104 01 0 00 20270 244 223</t>
  </si>
  <si>
    <t>арендная плата за польз-е имущ-вом</t>
  </si>
  <si>
    <t>959 0104 01 0 00 20270 244 224</t>
  </si>
  <si>
    <t>работы, услуги по содерж-ю имущ-ва</t>
  </si>
  <si>
    <t>959 0104 01 0 00 20270 244 225</t>
  </si>
  <si>
    <t xml:space="preserve">прочие работы, услуги </t>
  </si>
  <si>
    <t>959 0104 01 0 00 20270 244 226</t>
  </si>
  <si>
    <t>безвозмездные перечисл-я бюджетам</t>
  </si>
  <si>
    <t>959 0100 00 0 00 00000 000 250</t>
  </si>
  <si>
    <t>прочие расходы</t>
  </si>
  <si>
    <t>959 0100 00 0 00 00000 000 290</t>
  </si>
  <si>
    <t>поступление нефинансовых активов</t>
  </si>
  <si>
    <t>959 0100 00 0 00 00000 000 300</t>
  </si>
  <si>
    <t>Функционирование высшего должностного лица органа местного самоуправления</t>
  </si>
  <si>
    <t>959 0102 00 0 00 00000 000 000</t>
  </si>
  <si>
    <t>959 0102 01 0 00 00030 121 211</t>
  </si>
  <si>
    <t>959 0102 01 0 00 00030 129 213</t>
  </si>
  <si>
    <t>Функц.местных администраций</t>
  </si>
  <si>
    <t>959 0104 00 0 00 00000 000 000</t>
  </si>
  <si>
    <t>в том числе</t>
  </si>
  <si>
    <t>Центральный аппарат</t>
  </si>
  <si>
    <t>959 0104  01 0 00 20270 000 000</t>
  </si>
  <si>
    <t>959 0104  01 0 00 20270 121 211</t>
  </si>
  <si>
    <t>прочие выплаты</t>
  </si>
  <si>
    <t>959 0104 01 0 00 20270 121 212</t>
  </si>
  <si>
    <t>начисл на оплату труда</t>
  </si>
  <si>
    <t>959 0104 01 0 00 20270 129 213</t>
  </si>
  <si>
    <t>увел.стоимости основных средств</t>
  </si>
  <si>
    <t>959 0104 01 0 00 20270 244 310</t>
  </si>
  <si>
    <t>увел.ст-сти материальных запасов</t>
  </si>
  <si>
    <t>959 0104 01 0 00 20270 244 340</t>
  </si>
  <si>
    <t>Уплата налогов, сборов и иных платежей</t>
  </si>
  <si>
    <t xml:space="preserve">    959 0104  01 0 00 80140 850 000</t>
  </si>
  <si>
    <t>уплата прочих налогов, сборов</t>
  </si>
  <si>
    <t>959 0104 01 0 00 20270 831 290</t>
  </si>
  <si>
    <t>959 0104 01 0 00 20270 852 290</t>
  </si>
  <si>
    <t>уплата иных платежей</t>
  </si>
  <si>
    <t>959 0104 01 0 00 20270 853 290</t>
  </si>
  <si>
    <t>Уплата налога на имущество орг-ций</t>
  </si>
  <si>
    <t>959 0104 01 0 00 80140 851 290</t>
  </si>
  <si>
    <t>Административная комиссия</t>
  </si>
  <si>
    <t>959 0104  99 0 00 70010 244 000</t>
  </si>
  <si>
    <t>увелич-е ст-сти матер-ных запасов - Обеспечение деят-ти адм. Комиссии (по субвенции)</t>
  </si>
  <si>
    <t>959 0104 99 0 00 70010 244 340</t>
  </si>
  <si>
    <t>Обеспечение деят.финансовых органов и органов надзора</t>
  </si>
  <si>
    <t>959 0106 00 0 00 00000 000 000</t>
  </si>
  <si>
    <t>Перечисления другим бюджетам в связи с передачей полномочий по финансовому контролю</t>
  </si>
  <si>
    <t>959 0106 99 0 00 62200 540 251</t>
  </si>
  <si>
    <t>Обеспечение проведения выборов и референдумов</t>
  </si>
  <si>
    <t>959 0107 00 0 00 00000 000 000</t>
  </si>
  <si>
    <t>увелич-е ст-сти матер-ных запасов</t>
  </si>
  <si>
    <t>959 0107 01 0 00 40380 244 290</t>
  </si>
  <si>
    <t>Резервные фонды</t>
  </si>
  <si>
    <t>959 0111 00 0 00 00000 000 000</t>
  </si>
  <si>
    <t>959 0111 99 0 00 80670 870 290</t>
  </si>
  <si>
    <t>Другие общегосударственные вопросы</t>
  </si>
  <si>
    <t>959 0113 00 0 00 00000 000 000</t>
  </si>
  <si>
    <t>959 0113 99 0 00 50480 244 226</t>
  </si>
  <si>
    <t>Мобилизационная и вневойсковая подготовка</t>
  </si>
  <si>
    <t>959 0203 0000000 000 000</t>
  </si>
  <si>
    <t>в том числе :</t>
  </si>
  <si>
    <t>959 0203 99 0 00 51180 121 211</t>
  </si>
  <si>
    <t>начисл-я на оплату труда</t>
  </si>
  <si>
    <t>959 0203 99 0 00 51180 129 213</t>
  </si>
  <si>
    <t>959 0203 99 0 00 51180 244 340</t>
  </si>
  <si>
    <t>Национальная безопасность и правоохранительная деятельность</t>
  </si>
  <si>
    <t>959 0300 00 0 00 00000 000 000</t>
  </si>
  <si>
    <t>959 0300 00 0 00 00000 000 200</t>
  </si>
  <si>
    <t>959 0300 00 0 00 00000 000 220</t>
  </si>
  <si>
    <t>959 0300 00 0 00 00000 000 290</t>
  </si>
  <si>
    <t>959 0300 00 0 00 00000 000 300</t>
  </si>
  <si>
    <t>Обеспечение пожарной безопасности</t>
  </si>
  <si>
    <t>959 0310 0000000 000 000</t>
  </si>
  <si>
    <t>прочие работы, услуги</t>
  </si>
  <si>
    <t>959 0310 01 0 00 00590 244 226</t>
  </si>
  <si>
    <t>увелич-е стоимости осн-х средств</t>
  </si>
  <si>
    <t>959 0310 01 0 00 00590 244 310</t>
  </si>
  <si>
    <t>959 0310 00 0 00 00590 852 290</t>
  </si>
  <si>
    <t>Национальная экономика</t>
  </si>
  <si>
    <t>959 0400 00 0 00 00000 000 000</t>
  </si>
  <si>
    <t>959 0400 00 0 00 00000 000 200</t>
  </si>
  <si>
    <t>959 0400 00 0 00 00000 000 220</t>
  </si>
  <si>
    <t>959 0400 00 0 00 00000 000 290</t>
  </si>
  <si>
    <t>Дорожное хозяйство</t>
  </si>
  <si>
    <t>959 0409 0000000 000 000</t>
  </si>
  <si>
    <t>959 0409 03 0 00 20680 244 225</t>
  </si>
  <si>
    <t>959 0409 03 0 00 20680 244 226</t>
  </si>
  <si>
    <t>959 0409 03 0 00 20680 244 340</t>
  </si>
  <si>
    <t>Другие вопросы в области национальной экономики (Мероприятия в области строительства, архитектуры и градостроительства)</t>
  </si>
  <si>
    <t>959 0412 00 0 00 00000 000 000</t>
  </si>
  <si>
    <t>959 0412 04 0 00 60180 244 226</t>
  </si>
  <si>
    <t>959 0412 04 0 00 60180 244 290</t>
  </si>
  <si>
    <t>Жилищно-коммунальное хозяйство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</si>
  <si>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</si>
  <si>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</si>
  <si>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</si>
  <si>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</si>
  <si>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</si>
  <si>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</si>
  <si>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</si>
  <si>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</si>
  <si>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</si>
  <si>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</si>
  <si>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Комунальное хозяйство</t>
  </si>
  <si>
    <t>959 0502 00 0 00 00000 000 000</t>
  </si>
  <si>
    <t>959 0502 99 0 00 02000 244 225</t>
  </si>
  <si>
    <t>959 0502 99 0 00 02000 244 226</t>
  </si>
  <si>
    <t>959 0502 99 0 00 02000 244 310</t>
  </si>
  <si>
    <t>Благоустройство</t>
  </si>
  <si>
    <t>959 0503 00 0 00 00000 000 000</t>
  </si>
  <si>
    <t>Уличное освещение</t>
  </si>
  <si>
    <t xml:space="preserve">    959 0503  04 0 00 01000 </t>
  </si>
  <si>
    <t>959 0503 04 0 00 01000 244 223</t>
  </si>
  <si>
    <t>959 0503 04 0 00 01000 244 225</t>
  </si>
  <si>
    <t>959 0503 04 0 00 01000 244 226</t>
  </si>
  <si>
    <t>959 0503 04 0 00 01000 244 310</t>
  </si>
  <si>
    <t>959 0503 04 0 00 01000 244 340</t>
  </si>
  <si>
    <t>Озеленение</t>
  </si>
  <si>
    <t xml:space="preserve">    959 0503  04 0 00 03000</t>
  </si>
  <si>
    <t>959 0503 04 0 00 03000 244 226</t>
  </si>
  <si>
    <t>959 0503 04 0 00 03000 244 310</t>
  </si>
  <si>
    <t>959 0503 04 0 00 03000 244 340</t>
  </si>
  <si>
    <t>Содерж. мест захорон-я</t>
  </si>
  <si>
    <t xml:space="preserve">    959 0503  04 0 00 04000</t>
  </si>
  <si>
    <t>959 0503 04 0 00 04000 244 226</t>
  </si>
  <si>
    <t>959 0503 04 0 00 04000 244 310</t>
  </si>
  <si>
    <t>959 0503 04 0 00 04000 244 340</t>
  </si>
  <si>
    <t>Прочие меропр-я по благоуст-ву</t>
  </si>
  <si>
    <t xml:space="preserve">    959 0503  04 0 00 05000 </t>
  </si>
  <si>
    <t>959 0503 04 0 00 05000 244 225</t>
  </si>
  <si>
    <t>959 0503 04 0 00 05000 244 226</t>
  </si>
  <si>
    <t>959 0503 04 0 00 05000 244 290</t>
  </si>
  <si>
    <t>959 0503 04 0 00 05000 244 310</t>
  </si>
  <si>
    <t>959 0503 04 0 00 05000 244 340</t>
  </si>
  <si>
    <t xml:space="preserve">    959 0503  04 0 00 08014</t>
  </si>
  <si>
    <t>959 0503 04 0 00 80140 851 290</t>
  </si>
  <si>
    <t>Образование</t>
  </si>
  <si>
    <t>0700 00 0 00 00000 000 000</t>
  </si>
  <si>
    <t xml:space="preserve">расходы </t>
  </si>
  <si>
    <t>0700 00 0 00 00000 000 200</t>
  </si>
  <si>
    <t>0700 00 0 00 00000 000 300</t>
  </si>
  <si>
    <t>Молодежная политика и оздоровление детей</t>
  </si>
  <si>
    <t xml:space="preserve">    959 0707 02 0 00 20040</t>
  </si>
  <si>
    <t>959 0707 02 0 00 20040 111 211</t>
  </si>
  <si>
    <t>начисления на з/пл</t>
  </si>
  <si>
    <t>959 0707 02 0 00 20040 119 213</t>
  </si>
  <si>
    <t>959 0707 02 0 00 20040 244 221</t>
  </si>
  <si>
    <t>959 0707 02 0 00 20040 244 222</t>
  </si>
  <si>
    <t>959 0707 02 0 00 20040 244 223</t>
  </si>
  <si>
    <t>услуги по содержанию имущества</t>
  </si>
  <si>
    <t>959 0707 02 0 00 20040 244 225</t>
  </si>
  <si>
    <t>прочие услуги</t>
  </si>
  <si>
    <t>959 0707 00 0 00 20040 244 226</t>
  </si>
  <si>
    <t>959 0707 02 0 00 20040 244 310</t>
  </si>
  <si>
    <t>959 0707 02 0 00 20040 244 340</t>
  </si>
  <si>
    <t>Уплата налога  на имущ-во</t>
  </si>
  <si>
    <t xml:space="preserve">    959 0707  99 0 00 62200</t>
  </si>
  <si>
    <t>уплата налога на имущество орг-ций</t>
  </si>
  <si>
    <t>959 0707 99 0 00 62200 851 290</t>
  </si>
  <si>
    <t>Культура, кинематография</t>
  </si>
  <si>
    <t>959 0800 00 0 00 00000 000 000</t>
  </si>
  <si>
    <t>959 0800 00 0 00 00000 000 200</t>
  </si>
  <si>
    <t>959 0800 00 0 00 00000 000 210</t>
  </si>
  <si>
    <t>959 0800 00 0 00 00000 000 211</t>
  </si>
  <si>
    <t>прочие выплаты персоналу</t>
  </si>
  <si>
    <t>959 0800 00 0 00 00000 000 212</t>
  </si>
  <si>
    <t>959 0800 00 0 00 00000 000 213</t>
  </si>
  <si>
    <t>959 0800 00 0 00 00000 000 220</t>
  </si>
  <si>
    <t>959 0800 00 0 00 00000 000 221</t>
  </si>
  <si>
    <t>959 0800 00 0 00 00000 000 222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</si>
  <si>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</si>
  <si>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</si>
  <si>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</si>
  <si>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</si>
  <si>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</si>
  <si>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</si>
  <si>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</si>
  <si>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Культура</t>
  </si>
  <si>
    <t>959 0801 00 0 00 00000 000 000</t>
  </si>
  <si>
    <t>Дворцы и дома культуры, другие учреждения культуры</t>
  </si>
  <si>
    <t xml:space="preserve">    959 0801  02 0 00 60140</t>
  </si>
  <si>
    <t>959 0801 02 0 00 60140 111 211</t>
  </si>
  <si>
    <t>иные выплаты персоналу</t>
  </si>
  <si>
    <t>959 0801 02 0 00 60140 112 212</t>
  </si>
  <si>
    <t>959 0801 02 0 00 60140 119 213</t>
  </si>
  <si>
    <t>959 0801 02 0 00 60140 244 221</t>
  </si>
  <si>
    <t>959 0801 02 0 00 60140 244 222</t>
  </si>
  <si>
    <t>959 0801 02 0 00 60140 244 223</t>
  </si>
  <si>
    <t>959 0801 02 0 00 60140 244 225</t>
  </si>
  <si>
    <t>959 0801 02 0 00 60140 244 226</t>
  </si>
  <si>
    <t>приобретение подарков, сувениров и т.п. расходов для ветеранов ВОВ на день победы - 9 мая 2017г.</t>
  </si>
  <si>
    <t>959 0801 02 0 00 60140 244 290</t>
  </si>
  <si>
    <t>959 0801 02 0 00 60140 244 310</t>
  </si>
  <si>
    <t>959 0801 02 0 00 60140 244 340</t>
  </si>
  <si>
    <t xml:space="preserve">    959 0801 02 0 00 80140 850 000</t>
  </si>
  <si>
    <t>исполн-е суд.актов по возм-ю потерь</t>
  </si>
  <si>
    <t>959 0801 02 0 00 60140 831 290</t>
  </si>
  <si>
    <t>959 0801 02 0 00 60140 852 290</t>
  </si>
  <si>
    <t>959 0801 02 0 00 60140 853 290</t>
  </si>
  <si>
    <t>959 0801 02 0 00 80140 851 290</t>
  </si>
  <si>
    <t>Физическая культура</t>
  </si>
  <si>
    <t xml:space="preserve">    959 1101 00 0 00 0000 000 000</t>
  </si>
  <si>
    <t>959 1101 02 0 00 00230 244 310</t>
  </si>
  <si>
    <t>959 1101 02 0 00 00230 244 340</t>
  </si>
  <si>
    <t>Средства массовой информации</t>
  </si>
  <si>
    <t>959 1200 00 0 00 00000 000 000</t>
  </si>
  <si>
    <t>959 1202 00 0 00 00000 000 200</t>
  </si>
  <si>
    <t>959 1202 00 0 00 00000 000 220</t>
  </si>
  <si>
    <t>Периодическая печать</t>
  </si>
  <si>
    <t>959 1202 00 0 00 00000 000 000</t>
  </si>
  <si>
    <t>прочие услуги от СМИ (с использ. гос.поддержки)</t>
  </si>
  <si>
    <t>959 1202 01 0 00 60590 244 226</t>
  </si>
  <si>
    <t>Результат исполнения бюджета (дефицит "-"/профицит "+")</t>
  </si>
  <si>
    <t>450</t>
  </si>
  <si>
    <t xml:space="preserve">                    3. Источники финансирования дефицита бюджетов</t>
  </si>
  <si>
    <t>Код источника</t>
  </si>
  <si>
    <t>финансирования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</si>
  <si>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</si>
  <si>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</si>
  <si>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</si>
  <si>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</si>
  <si>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</si>
  <si>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>-</t>
  </si>
  <si>
    <t xml:space="preserve">       из них:</t>
  </si>
  <si>
    <t xml:space="preserve">Поступления от продажи земельных участков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</si>
  <si>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</si>
  <si>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</si>
  <si>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</si>
  <si>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</si>
  <si>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</si>
  <si>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</si>
  <si>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</si>
  <si>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из них:</t>
  </si>
  <si>
    <t>ИСТОЧНИКИ ВНУТРЕННЕГО ФИНАНСИРОВАНИЯ ДЕФИЦИТОВ БЮДЖЕТОВ</t>
  </si>
  <si>
    <t>959 01 00 00 00 00 0000 000</t>
  </si>
  <si>
    <t xml:space="preserve"> - </t>
  </si>
  <si>
    <t>Изменение остатков средств на счетах по учету средств бюджетов</t>
  </si>
  <si>
    <t>959 01 05 00 00 00 0000 000</t>
  </si>
  <si>
    <t>Увеличение остатков средств бюджетов</t>
  </si>
  <si>
    <t>959 01 05 00 00 00 0000 500</t>
  </si>
  <si>
    <t>Увеличение прочих остатков средств бюджетов</t>
  </si>
  <si>
    <t>959 01 05 02 00 00 0000 500</t>
  </si>
  <si>
    <t>Увеличение прочих остатков денежных средств бюджетов</t>
  </si>
  <si>
    <t>959 01 05 02 01 00 0000 510</t>
  </si>
  <si>
    <t>Увеличение прочих остатков денежных средств бюджетов поселений</t>
  </si>
  <si>
    <t>959 01 05 02 01 10 0000 510</t>
  </si>
  <si>
    <t>Уменьшение остатков средств</t>
  </si>
  <si>
    <t>720</t>
  </si>
  <si>
    <t>Уменьшение остатков средств бюджетов</t>
  </si>
  <si>
    <t>959 01 05 00 00 00 0000 600</t>
  </si>
  <si>
    <t>Уменьшение прочих остатков средств бюджетов</t>
  </si>
  <si>
    <t>959 01 05 02 00 00 0000 600</t>
  </si>
  <si>
    <t>Уменьшение прочих остатков денежных средств бюджетов</t>
  </si>
  <si>
    <t>959 01 05 02 01 00 0000 610</t>
  </si>
  <si>
    <t>Уменьшение прочих остатков денежных средств бюджетов поселений</t>
  </si>
  <si>
    <t>959 01 05 02 01 10 0000 610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</si>
  <si>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</si>
  <si>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</si>
  <si>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</si>
  <si>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</si>
  <si>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</si>
  <si>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</si>
  <si>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</si>
  <si>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</si>
  <si>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изменение остатков по внутренним расчетам</t>
  </si>
  <si>
    <t>820</t>
  </si>
  <si>
    <t>увеличение остатков по внутренним расчетам (кредит счета 30404000)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</si>
  <si>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</si>
  <si>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</si>
  <si>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</si>
  <si>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</si>
  <si>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t>Василенко П.В.</t>
  </si>
  <si>
    <t>Руководитель финансово-</t>
  </si>
  <si>
    <t xml:space="preserve">                                         (подпись)                  </t>
  </si>
  <si>
    <t>(расшифровка подписи)</t>
  </si>
  <si>
    <t>экономической службы        ____________________   ______________________</t>
  </si>
  <si>
    <t>Ермилова А.Т.</t>
  </si>
  <si>
    <t xml:space="preserve">                        (подпись)                     (расшифровка подписи)</t>
  </si>
  <si>
    <r>
      <rPr>
        <b/>
        <sz val="8"/>
        <rFont val="Arial Cyr"/>
        <family val="0"/>
      </rP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</si>
  <si>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>Галацан И.И.</t>
  </si>
  <si>
    <t xml:space="preserve">                                       (подпись)      </t>
  </si>
  <si>
    <t xml:space="preserve">    Отметка ответственного исполнителя органа, осуществляющего кассовое обслуживание исполнения бюджета</t>
  </si>
  <si>
    <t>__ ________ 20__ г.</t>
  </si>
  <si>
    <t xml:space="preserve"> ________________    __________________    __________________                 "_____"__________________ 200__г.</t>
  </si>
  <si>
    <t xml:space="preserve">(должность)                  (подпись)             (расшифровка  подписи)           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</si>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</sst>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\ _₽"/>
    <numFmt numFmtId="168" formatCode="#,##0.00"/>
    <numFmt numFmtId="169" formatCode="#,##0"/>
    <numFmt numFmtId="170" formatCode="0.00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10"/>
      <name val="Arial Cyr"/>
      <family val="0"/>
    </font>
    <font>
      <b/>
      <u val="single"/>
      <sz val="8"/>
      <name val="Arial Cyr"/>
      <family val="0"/>
    </font>
    <font>
      <i/>
      <u val="single"/>
      <sz val="8"/>
      <name val="Arial Cyr"/>
      <family val="0"/>
    </font>
    <font>
      <b/>
      <i/>
      <u val="single"/>
      <sz val="8"/>
      <name val="Arial Cyr"/>
      <family val="0"/>
    </font>
    <font>
      <b/>
      <sz val="8"/>
      <color indexed="12"/>
      <name val="Arial Cyr"/>
      <family val="0"/>
    </font>
    <font>
      <b/>
      <sz val="11"/>
      <name val="Arial Cyr"/>
      <family val="2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483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1" fillId="0" borderId="0" xfId="20" applyFont="1" applyFill="1" applyBorder="1">
      <alignment/>
      <protection/>
    </xf>
    <xf numFmtId="164" fontId="1" fillId="0" borderId="0" xfId="20" applyFont="1" applyFill="1" applyBorder="1" applyAlignment="1">
      <alignment horizontal="left"/>
      <protection/>
    </xf>
    <xf numFmtId="165" fontId="1" fillId="0" borderId="0" xfId="20" applyNumberFormat="1" applyFont="1" applyFill="1" applyBorder="1">
      <alignment/>
      <protection/>
    </xf>
    <xf numFmtId="164" fontId="3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4" fillId="0" borderId="0" xfId="20" applyFont="1" applyBorder="1" applyAlignment="1">
      <alignment horizontal="center" wrapText="1"/>
      <protection/>
    </xf>
    <xf numFmtId="164" fontId="1" fillId="0" borderId="0" xfId="20" applyFont="1" applyBorder="1" applyAlignment="1">
      <alignment/>
      <protection/>
    </xf>
    <xf numFmtId="164" fontId="1" fillId="0" borderId="0" xfId="20" applyFont="1" applyBorder="1" applyAlignment="1">
      <alignment horizontal="right" vertical="center" indent="1"/>
      <protection/>
    </xf>
    <xf numFmtId="165" fontId="5" fillId="0" borderId="1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4" fontId="7" fillId="0" borderId="0" xfId="20" applyFont="1" applyBorder="1" applyAlignment="1">
      <alignment horizontal="center"/>
      <protection/>
    </xf>
    <xf numFmtId="164" fontId="4" fillId="0" borderId="0" xfId="20" applyFont="1" applyBorder="1">
      <alignment/>
      <protection/>
    </xf>
    <xf numFmtId="166" fontId="6" fillId="0" borderId="2" xfId="20" applyNumberFormat="1" applyFont="1" applyFill="1" applyBorder="1" applyAlignment="1">
      <alignment horizontal="center"/>
      <protection/>
    </xf>
    <xf numFmtId="165" fontId="1" fillId="0" borderId="0" xfId="22" applyNumberFormat="1" applyFont="1" applyAlignment="1">
      <alignment horizontal="left" wrapText="1"/>
      <protection/>
    </xf>
    <xf numFmtId="165" fontId="1" fillId="0" borderId="0" xfId="20" applyNumberFormat="1" applyFont="1" applyBorder="1" applyAlignment="1">
      <alignment horizontal="left" wrapText="1"/>
      <protection/>
    </xf>
    <xf numFmtId="165" fontId="1" fillId="0" borderId="0" xfId="22" applyNumberFormat="1" applyFont="1" applyBorder="1" applyAlignment="1">
      <alignment wrapText="1"/>
      <protection/>
    </xf>
    <xf numFmtId="165" fontId="8" fillId="0" borderId="0" xfId="20" applyNumberFormat="1" applyFont="1" applyBorder="1" applyAlignment="1">
      <alignment wrapText="1"/>
      <protection/>
    </xf>
    <xf numFmtId="165" fontId="1" fillId="0" borderId="0" xfId="20" applyNumberFormat="1" applyFont="1" applyBorder="1" applyAlignment="1">
      <alignment wrapText="1"/>
      <protection/>
    </xf>
    <xf numFmtId="164" fontId="1" fillId="0" borderId="0" xfId="20" applyFont="1" applyBorder="1" applyAlignment="1">
      <alignment horizontal="right" vertical="center" wrapText="1" indent="1" shrinkToFit="1"/>
      <protection/>
    </xf>
    <xf numFmtId="165" fontId="4" fillId="0" borderId="2" xfId="20" applyNumberFormat="1" applyFont="1" applyBorder="1" applyAlignment="1">
      <alignment wrapText="1" shrinkToFit="1"/>
      <protection/>
    </xf>
    <xf numFmtId="164" fontId="0" fillId="0" borderId="0" xfId="0" applyAlignment="1">
      <alignment wrapText="1" shrinkToFit="1"/>
    </xf>
    <xf numFmtId="165" fontId="5" fillId="0" borderId="2" xfId="20" applyNumberFormat="1" applyFont="1" applyBorder="1" applyAlignment="1">
      <alignment/>
      <protection/>
    </xf>
    <xf numFmtId="165" fontId="5" fillId="0" borderId="2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left" wrapText="1"/>
      <protection/>
    </xf>
    <xf numFmtId="165" fontId="9" fillId="0" borderId="0" xfId="20" applyNumberFormat="1" applyFont="1" applyBorder="1" applyAlignment="1">
      <alignment/>
      <protection/>
    </xf>
    <xf numFmtId="165" fontId="8" fillId="0" borderId="0" xfId="20" applyNumberFormat="1" applyFont="1" applyBorder="1" applyAlignment="1">
      <alignment/>
      <protection/>
    </xf>
    <xf numFmtId="164" fontId="1" fillId="0" borderId="0" xfId="20" applyFont="1" applyBorder="1" applyAlignment="1">
      <alignment horizontal="right" vertical="center" wrapText="1" indent="1"/>
      <protection/>
    </xf>
    <xf numFmtId="165" fontId="1" fillId="0" borderId="3" xfId="20" applyNumberFormat="1" applyFont="1" applyBorder="1" applyAlignment="1">
      <alignment horizontal="left" wrapText="1"/>
      <protection/>
    </xf>
    <xf numFmtId="165" fontId="1" fillId="0" borderId="0" xfId="22" applyNumberFormat="1" applyFont="1" applyBorder="1" applyAlignment="1">
      <alignment wrapText="1" shrinkToFit="1"/>
      <protection/>
    </xf>
    <xf numFmtId="165" fontId="9" fillId="0" borderId="0" xfId="20" applyNumberFormat="1" applyFont="1" applyBorder="1" applyAlignment="1">
      <alignment horizontal="center" wrapText="1"/>
      <protection/>
    </xf>
    <xf numFmtId="165" fontId="5" fillId="0" borderId="2" xfId="20" applyNumberFormat="1" applyFont="1" applyBorder="1" applyAlignment="1">
      <alignment horizontal="center" wrapText="1" shrinkToFit="1"/>
      <protection/>
    </xf>
    <xf numFmtId="164" fontId="1" fillId="0" borderId="0" xfId="20" applyFont="1" applyBorder="1" applyAlignment="1">
      <alignment horizontal="center" wrapText="1"/>
      <protection/>
    </xf>
    <xf numFmtId="164" fontId="1" fillId="0" borderId="0" xfId="20" applyFont="1" applyBorder="1" applyAlignment="1">
      <alignment wrapText="1"/>
      <protection/>
    </xf>
    <xf numFmtId="165" fontId="5" fillId="0" borderId="4" xfId="20" applyNumberFormat="1" applyFont="1" applyBorder="1" applyAlignment="1">
      <alignment horizontal="center"/>
      <protection/>
    </xf>
    <xf numFmtId="165" fontId="10" fillId="0" borderId="0" xfId="20" applyNumberFormat="1" applyFont="1" applyBorder="1" applyAlignment="1">
      <alignment horizontal="center"/>
      <protection/>
    </xf>
    <xf numFmtId="165" fontId="4" fillId="0" borderId="0" xfId="20" applyNumberFormat="1" applyFont="1" applyBorder="1" applyAlignment="1">
      <alignment/>
      <protection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0" borderId="5" xfId="0" applyFont="1" applyBorder="1" applyAlignment="1">
      <alignment horizontal="left"/>
    </xf>
    <xf numFmtId="164" fontId="12" fillId="0" borderId="5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/>
    </xf>
    <xf numFmtId="165" fontId="12" fillId="0" borderId="6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top"/>
    </xf>
    <xf numFmtId="165" fontId="12" fillId="0" borderId="7" xfId="0" applyNumberFormat="1" applyFont="1" applyFill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horizontal="center"/>
    </xf>
    <xf numFmtId="164" fontId="12" fillId="0" borderId="9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horizontal="left"/>
    </xf>
    <xf numFmtId="165" fontId="12" fillId="0" borderId="0" xfId="0" applyNumberFormat="1" applyFont="1" applyFill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4" fontId="14" fillId="2" borderId="12" xfId="0" applyFont="1" applyFill="1" applyBorder="1" applyAlignment="1">
      <alignment horizontal="left" vertical="center"/>
    </xf>
    <xf numFmtId="165" fontId="14" fillId="2" borderId="11" xfId="0" applyNumberFormat="1" applyFont="1" applyFill="1" applyBorder="1" applyAlignment="1">
      <alignment horizontal="center" vertical="center"/>
    </xf>
    <xf numFmtId="164" fontId="15" fillId="2" borderId="8" xfId="0" applyFont="1" applyFill="1" applyBorder="1" applyAlignment="1">
      <alignment horizontal="center" vertical="center"/>
    </xf>
    <xf numFmtId="167" fontId="14" fillId="2" borderId="6" xfId="0" applyNumberFormat="1" applyFont="1" applyFill="1" applyBorder="1" applyAlignment="1">
      <alignment vertical="center"/>
    </xf>
    <xf numFmtId="167" fontId="15" fillId="0" borderId="5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167" fontId="14" fillId="2" borderId="14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2" fillId="2" borderId="15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2" fillId="2" borderId="16" xfId="0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right" vertical="center" indent="1"/>
    </xf>
    <xf numFmtId="165" fontId="12" fillId="0" borderId="1" xfId="0" applyNumberFormat="1" applyFont="1" applyFill="1" applyBorder="1" applyAlignment="1">
      <alignment horizontal="right" vertical="center" indent="1"/>
    </xf>
    <xf numFmtId="165" fontId="12" fillId="0" borderId="15" xfId="0" applyNumberFormat="1" applyFont="1" applyFill="1" applyBorder="1" applyAlignment="1">
      <alignment horizontal="right" vertical="center" indent="1"/>
    </xf>
    <xf numFmtId="165" fontId="12" fillId="2" borderId="17" xfId="0" applyNumberFormat="1" applyFont="1" applyFill="1" applyBorder="1" applyAlignment="1">
      <alignment horizontal="right" vertical="center" indent="1"/>
    </xf>
    <xf numFmtId="165" fontId="12" fillId="2" borderId="1" xfId="0" applyNumberFormat="1" applyFont="1" applyFill="1" applyBorder="1" applyAlignment="1">
      <alignment horizontal="right" vertical="center" indent="1"/>
    </xf>
    <xf numFmtId="164" fontId="16" fillId="2" borderId="18" xfId="0" applyFont="1" applyFill="1" applyBorder="1" applyAlignment="1">
      <alignment vertical="top" wrapText="1"/>
    </xf>
    <xf numFmtId="164" fontId="16" fillId="2" borderId="19" xfId="0" applyFont="1" applyFill="1" applyBorder="1" applyAlignment="1">
      <alignment vertical="top" wrapText="1"/>
    </xf>
    <xf numFmtId="164" fontId="16" fillId="2" borderId="20" xfId="0" applyFont="1" applyFill="1" applyBorder="1" applyAlignment="1">
      <alignment horizontal="center" vertical="center" wrapText="1"/>
    </xf>
    <xf numFmtId="168" fontId="16" fillId="2" borderId="20" xfId="0" applyNumberFormat="1" applyFont="1" applyFill="1" applyBorder="1" applyAlignment="1">
      <alignment horizontal="right" vertical="center" indent="1"/>
    </xf>
    <xf numFmtId="168" fontId="16" fillId="0" borderId="19" xfId="0" applyNumberFormat="1" applyFont="1" applyFill="1" applyBorder="1" applyAlignment="1">
      <alignment horizontal="right" vertical="center" indent="1"/>
    </xf>
    <xf numFmtId="168" fontId="16" fillId="0" borderId="3" xfId="0" applyNumberFormat="1" applyFont="1" applyFill="1" applyBorder="1" applyAlignment="1">
      <alignment horizontal="right" vertical="center" indent="1"/>
    </xf>
    <xf numFmtId="168" fontId="16" fillId="2" borderId="21" xfId="0" applyNumberFormat="1" applyFont="1" applyFill="1" applyBorder="1" applyAlignment="1">
      <alignment horizontal="right" vertical="center" indent="1"/>
    </xf>
    <xf numFmtId="168" fontId="16" fillId="2" borderId="19" xfId="0" applyNumberFormat="1" applyFont="1" applyFill="1" applyBorder="1" applyAlignment="1">
      <alignment horizontal="right" vertical="center" indent="1"/>
    </xf>
    <xf numFmtId="164" fontId="12" fillId="3" borderId="22" xfId="0" applyFont="1" applyFill="1" applyBorder="1" applyAlignment="1">
      <alignment vertical="top" wrapText="1"/>
    </xf>
    <xf numFmtId="164" fontId="12" fillId="3" borderId="2" xfId="0" applyFont="1" applyFill="1" applyBorder="1" applyAlignment="1">
      <alignment vertical="top" wrapText="1"/>
    </xf>
    <xf numFmtId="164" fontId="12" fillId="3" borderId="23" xfId="0" applyFont="1" applyFill="1" applyBorder="1" applyAlignment="1">
      <alignment horizontal="center" vertical="center" wrapText="1"/>
    </xf>
    <xf numFmtId="168" fontId="12" fillId="3" borderId="23" xfId="0" applyNumberFormat="1" applyFont="1" applyFill="1" applyBorder="1" applyAlignment="1">
      <alignment horizontal="right" vertical="center" indent="1"/>
    </xf>
    <xf numFmtId="168" fontId="12" fillId="0" borderId="2" xfId="0" applyNumberFormat="1" applyFont="1" applyFill="1" applyBorder="1" applyAlignment="1">
      <alignment horizontal="right" vertical="center" indent="1"/>
    </xf>
    <xf numFmtId="168" fontId="12" fillId="0" borderId="24" xfId="0" applyNumberFormat="1" applyFont="1" applyFill="1" applyBorder="1" applyAlignment="1">
      <alignment horizontal="right" vertical="center" indent="1"/>
    </xf>
    <xf numFmtId="168" fontId="16" fillId="3" borderId="21" xfId="0" applyNumberFormat="1" applyFont="1" applyFill="1" applyBorder="1" applyAlignment="1">
      <alignment horizontal="right" vertical="center" indent="1"/>
    </xf>
    <xf numFmtId="168" fontId="12" fillId="3" borderId="25" xfId="0" applyNumberFormat="1" applyFont="1" applyFill="1" applyBorder="1" applyAlignment="1">
      <alignment horizontal="right" vertical="center" indent="1"/>
    </xf>
    <xf numFmtId="164" fontId="12" fillId="4" borderId="22" xfId="0" applyFont="1" applyFill="1" applyBorder="1" applyAlignment="1">
      <alignment vertical="top" wrapText="1"/>
    </xf>
    <xf numFmtId="164" fontId="12" fillId="4" borderId="2" xfId="0" applyFont="1" applyFill="1" applyBorder="1" applyAlignment="1">
      <alignment vertical="top" wrapText="1"/>
    </xf>
    <xf numFmtId="164" fontId="12" fillId="4" borderId="23" xfId="0" applyFont="1" applyFill="1" applyBorder="1" applyAlignment="1">
      <alignment horizontal="center" vertical="center" wrapText="1"/>
    </xf>
    <xf numFmtId="168" fontId="12" fillId="4" borderId="23" xfId="0" applyNumberFormat="1" applyFont="1" applyFill="1" applyBorder="1" applyAlignment="1">
      <alignment horizontal="right" vertical="center" indent="1"/>
    </xf>
    <xf numFmtId="168" fontId="16" fillId="4" borderId="21" xfId="0" applyNumberFormat="1" applyFont="1" applyFill="1" applyBorder="1" applyAlignment="1">
      <alignment horizontal="right" vertical="center" indent="1"/>
    </xf>
    <xf numFmtId="168" fontId="12" fillId="4" borderId="2" xfId="0" applyNumberFormat="1" applyFont="1" applyFill="1" applyBorder="1" applyAlignment="1">
      <alignment horizontal="right" vertical="center" indent="1"/>
    </xf>
    <xf numFmtId="164" fontId="12" fillId="5" borderId="22" xfId="0" applyFont="1" applyFill="1" applyBorder="1" applyAlignment="1">
      <alignment vertical="top" wrapText="1"/>
    </xf>
    <xf numFmtId="164" fontId="12" fillId="5" borderId="2" xfId="0" applyFont="1" applyFill="1" applyBorder="1" applyAlignment="1">
      <alignment vertical="top" wrapText="1"/>
    </xf>
    <xf numFmtId="164" fontId="12" fillId="5" borderId="23" xfId="0" applyFont="1" applyFill="1" applyBorder="1" applyAlignment="1">
      <alignment horizontal="center" vertical="center" wrapText="1"/>
    </xf>
    <xf numFmtId="168" fontId="12" fillId="5" borderId="23" xfId="0" applyNumberFormat="1" applyFont="1" applyFill="1" applyBorder="1" applyAlignment="1">
      <alignment horizontal="right" vertical="center" indent="1"/>
    </xf>
    <xf numFmtId="168" fontId="16" fillId="5" borderId="21" xfId="0" applyNumberFormat="1" applyFont="1" applyFill="1" applyBorder="1" applyAlignment="1">
      <alignment horizontal="right" vertical="center" indent="1"/>
    </xf>
    <xf numFmtId="168" fontId="12" fillId="5" borderId="19" xfId="0" applyNumberFormat="1" applyFont="1" applyFill="1" applyBorder="1" applyAlignment="1">
      <alignment horizontal="right" vertical="center" indent="1"/>
    </xf>
    <xf numFmtId="164" fontId="12" fillId="6" borderId="21" xfId="0" applyFont="1" applyFill="1" applyBorder="1" applyAlignment="1">
      <alignment vertical="top" wrapText="1"/>
    </xf>
    <xf numFmtId="164" fontId="12" fillId="0" borderId="2" xfId="0" applyFont="1" applyFill="1" applyBorder="1" applyAlignment="1">
      <alignment vertical="top" wrapText="1"/>
    </xf>
    <xf numFmtId="164" fontId="12" fillId="6" borderId="2" xfId="0" applyFont="1" applyFill="1" applyBorder="1" applyAlignment="1">
      <alignment horizontal="center" vertical="center" wrapText="1"/>
    </xf>
    <xf numFmtId="168" fontId="12" fillId="0" borderId="23" xfId="0" applyNumberFormat="1" applyFont="1" applyFill="1" applyBorder="1" applyAlignment="1">
      <alignment horizontal="right" vertical="center" indent="1"/>
    </xf>
    <xf numFmtId="168" fontId="16" fillId="0" borderId="21" xfId="0" applyNumberFormat="1" applyFont="1" applyFill="1" applyBorder="1" applyAlignment="1">
      <alignment horizontal="right" vertical="center" indent="1"/>
    </xf>
    <xf numFmtId="168" fontId="12" fillId="0" borderId="19" xfId="0" applyNumberFormat="1" applyFont="1" applyFill="1" applyBorder="1" applyAlignment="1">
      <alignment horizontal="right" vertical="center" indent="1"/>
    </xf>
    <xf numFmtId="164" fontId="12" fillId="6" borderId="24" xfId="0" applyFont="1" applyFill="1" applyBorder="1" applyAlignment="1">
      <alignment vertical="top" wrapText="1"/>
    </xf>
    <xf numFmtId="164" fontId="12" fillId="6" borderId="23" xfId="0" applyFont="1" applyFill="1" applyBorder="1" applyAlignment="1">
      <alignment horizontal="center" vertical="center" wrapText="1"/>
    </xf>
    <xf numFmtId="164" fontId="12" fillId="5" borderId="24" xfId="0" applyFont="1" applyFill="1" applyBorder="1" applyAlignment="1">
      <alignment vertical="top" wrapText="1"/>
    </xf>
    <xf numFmtId="168" fontId="12" fillId="5" borderId="2" xfId="0" applyNumberFormat="1" applyFont="1" applyFill="1" applyBorder="1" applyAlignment="1">
      <alignment horizontal="right" vertical="center" indent="1"/>
    </xf>
    <xf numFmtId="168" fontId="12" fillId="3" borderId="2" xfId="0" applyNumberFormat="1" applyFont="1" applyFill="1" applyBorder="1" applyAlignment="1">
      <alignment horizontal="right" vertical="center" indent="1"/>
    </xf>
    <xf numFmtId="164" fontId="12" fillId="0" borderId="22" xfId="0" applyFont="1" applyFill="1" applyBorder="1" applyAlignment="1">
      <alignment vertical="top" wrapText="1"/>
    </xf>
    <xf numFmtId="164" fontId="12" fillId="0" borderId="23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6" borderId="22" xfId="0" applyFont="1" applyFill="1" applyBorder="1" applyAlignment="1">
      <alignment vertical="top" wrapText="1"/>
    </xf>
    <xf numFmtId="164" fontId="12" fillId="6" borderId="2" xfId="0" applyFont="1" applyFill="1" applyBorder="1" applyAlignment="1">
      <alignment vertical="top" wrapText="1"/>
    </xf>
    <xf numFmtId="168" fontId="12" fillId="0" borderId="23" xfId="0" applyNumberFormat="1" applyFont="1" applyBorder="1" applyAlignment="1">
      <alignment horizontal="right" vertical="center" indent="1"/>
    </xf>
    <xf numFmtId="168" fontId="16" fillId="0" borderId="21" xfId="0" applyNumberFormat="1" applyFont="1" applyBorder="1" applyAlignment="1">
      <alignment horizontal="right" vertical="center" indent="1"/>
    </xf>
    <xf numFmtId="168" fontId="12" fillId="0" borderId="2" xfId="0" applyNumberFormat="1" applyFont="1" applyBorder="1" applyAlignment="1">
      <alignment horizontal="right" vertical="center" indent="1"/>
    </xf>
    <xf numFmtId="169" fontId="12" fillId="0" borderId="0" xfId="0" applyNumberFormat="1" applyFont="1" applyAlignment="1">
      <alignment/>
    </xf>
    <xf numFmtId="168" fontId="12" fillId="3" borderId="23" xfId="0" applyNumberFormat="1" applyFont="1" applyFill="1" applyBorder="1" applyAlignment="1">
      <alignment horizontal="right" vertical="center" indent="1"/>
    </xf>
    <xf numFmtId="168" fontId="12" fillId="0" borderId="2" xfId="0" applyNumberFormat="1" applyFont="1" applyFill="1" applyBorder="1" applyAlignment="1">
      <alignment horizontal="right" vertical="center" indent="1"/>
    </xf>
    <xf numFmtId="168" fontId="12" fillId="0" borderId="24" xfId="0" applyNumberFormat="1" applyFont="1" applyFill="1" applyBorder="1" applyAlignment="1">
      <alignment horizontal="right" vertical="center" indent="1"/>
    </xf>
    <xf numFmtId="168" fontId="12" fillId="3" borderId="21" xfId="0" applyNumberFormat="1" applyFont="1" applyFill="1" applyBorder="1" applyAlignment="1">
      <alignment horizontal="right" vertical="center" indent="1"/>
    </xf>
    <xf numFmtId="168" fontId="12" fillId="3" borderId="2" xfId="0" applyNumberFormat="1" applyFont="1" applyFill="1" applyBorder="1" applyAlignment="1">
      <alignment horizontal="right" vertical="center" indent="1"/>
    </xf>
    <xf numFmtId="168" fontId="12" fillId="6" borderId="23" xfId="0" applyNumberFormat="1" applyFont="1" applyFill="1" applyBorder="1" applyAlignment="1">
      <alignment horizontal="right" vertical="center" indent="1"/>
    </xf>
    <xf numFmtId="168" fontId="12" fillId="6" borderId="2" xfId="0" applyNumberFormat="1" applyFont="1" applyFill="1" applyBorder="1" applyAlignment="1">
      <alignment horizontal="right" vertical="center" indent="1"/>
    </xf>
    <xf numFmtId="168" fontId="12" fillId="6" borderId="24" xfId="0" applyNumberFormat="1" applyFont="1" applyFill="1" applyBorder="1" applyAlignment="1">
      <alignment horizontal="right" vertical="center" indent="1"/>
    </xf>
    <xf numFmtId="168" fontId="16" fillId="6" borderId="21" xfId="0" applyNumberFormat="1" applyFont="1" applyFill="1" applyBorder="1" applyAlignment="1">
      <alignment horizontal="right" vertical="center" indent="1"/>
    </xf>
    <xf numFmtId="168" fontId="12" fillId="0" borderId="25" xfId="0" applyNumberFormat="1" applyFont="1" applyBorder="1" applyAlignment="1">
      <alignment horizontal="right" vertical="center" indent="1"/>
    </xf>
    <xf numFmtId="164" fontId="16" fillId="2" borderId="22" xfId="0" applyFont="1" applyFill="1" applyBorder="1" applyAlignment="1">
      <alignment vertical="top" wrapText="1"/>
    </xf>
    <xf numFmtId="164" fontId="16" fillId="2" borderId="2" xfId="0" applyFont="1" applyFill="1" applyBorder="1" applyAlignment="1">
      <alignment vertical="top" wrapText="1"/>
    </xf>
    <xf numFmtId="164" fontId="16" fillId="2" borderId="23" xfId="0" applyFont="1" applyFill="1" applyBorder="1" applyAlignment="1">
      <alignment horizontal="center" vertical="center" wrapText="1"/>
    </xf>
    <xf numFmtId="168" fontId="16" fillId="2" borderId="23" xfId="0" applyNumberFormat="1" applyFont="1" applyFill="1" applyBorder="1" applyAlignment="1">
      <alignment horizontal="right" vertical="center" indent="1"/>
    </xf>
    <xf numFmtId="168" fontId="16" fillId="2" borderId="2" xfId="0" applyNumberFormat="1" applyFont="1" applyFill="1" applyBorder="1" applyAlignment="1">
      <alignment horizontal="right" vertical="center" indent="1"/>
    </xf>
    <xf numFmtId="168" fontId="12" fillId="4" borderId="21" xfId="0" applyNumberFormat="1" applyFont="1" applyFill="1" applyBorder="1" applyAlignment="1">
      <alignment horizontal="right" vertical="center" indent="1"/>
    </xf>
    <xf numFmtId="168" fontId="12" fillId="0" borderId="21" xfId="0" applyNumberFormat="1" applyFont="1" applyBorder="1" applyAlignment="1">
      <alignment horizontal="right" vertical="center" indent="1"/>
    </xf>
    <xf numFmtId="164" fontId="11" fillId="0" borderId="0" xfId="0" applyFont="1" applyFill="1" applyAlignment="1">
      <alignment/>
    </xf>
    <xf numFmtId="168" fontId="12" fillId="4" borderId="26" xfId="0" applyNumberFormat="1" applyFont="1" applyFill="1" applyBorder="1" applyAlignment="1">
      <alignment horizontal="right" vertical="center" indent="1"/>
    </xf>
    <xf numFmtId="168" fontId="12" fillId="0" borderId="25" xfId="0" applyNumberFormat="1" applyFont="1" applyFill="1" applyBorder="1" applyAlignment="1">
      <alignment horizontal="right" vertical="center" indent="1"/>
    </xf>
    <xf numFmtId="168" fontId="12" fillId="0" borderId="27" xfId="0" applyNumberFormat="1" applyFont="1" applyFill="1" applyBorder="1" applyAlignment="1">
      <alignment horizontal="right" vertical="center" indent="1"/>
    </xf>
    <xf numFmtId="164" fontId="1" fillId="0" borderId="2" xfId="20" applyFont="1" applyBorder="1" applyAlignment="1">
      <alignment horizontal="left" wrapText="1"/>
      <protection/>
    </xf>
    <xf numFmtId="168" fontId="12" fillId="0" borderId="26" xfId="0" applyNumberFormat="1" applyFont="1" applyBorder="1" applyAlignment="1">
      <alignment horizontal="right" vertical="center" indent="1"/>
    </xf>
    <xf numFmtId="168" fontId="12" fillId="0" borderId="26" xfId="0" applyNumberFormat="1" applyFont="1" applyFill="1" applyBorder="1" applyAlignment="1">
      <alignment horizontal="right" vertical="center" indent="1"/>
    </xf>
    <xf numFmtId="168" fontId="12" fillId="0" borderId="28" xfId="0" applyNumberFormat="1" applyFont="1" applyBorder="1" applyAlignment="1">
      <alignment horizontal="right" vertical="center" indent="1"/>
    </xf>
    <xf numFmtId="168" fontId="12" fillId="0" borderId="29" xfId="0" applyNumberFormat="1" applyFont="1" applyBorder="1" applyAlignment="1">
      <alignment horizontal="right" vertical="center" indent="1"/>
    </xf>
    <xf numFmtId="164" fontId="0" fillId="0" borderId="0" xfId="0" applyFill="1" applyAlignment="1">
      <alignment/>
    </xf>
    <xf numFmtId="164" fontId="12" fillId="6" borderId="30" xfId="0" applyFont="1" applyFill="1" applyBorder="1" applyAlignment="1">
      <alignment vertical="top" wrapText="1"/>
    </xf>
    <xf numFmtId="164" fontId="12" fillId="6" borderId="25" xfId="0" applyFont="1" applyFill="1" applyBorder="1" applyAlignment="1">
      <alignment vertical="top" wrapText="1"/>
    </xf>
    <xf numFmtId="164" fontId="12" fillId="6" borderId="26" xfId="0" applyFont="1" applyFill="1" applyBorder="1" applyAlignment="1">
      <alignment horizontal="center" vertical="center" wrapText="1"/>
    </xf>
    <xf numFmtId="164" fontId="12" fillId="0" borderId="25" xfId="0" applyFont="1" applyFill="1" applyBorder="1" applyAlignment="1">
      <alignment vertical="top" wrapText="1"/>
    </xf>
    <xf numFmtId="164" fontId="12" fillId="0" borderId="26" xfId="0" applyFont="1" applyFill="1" applyBorder="1" applyAlignment="1">
      <alignment horizontal="center" vertical="center" wrapText="1"/>
    </xf>
    <xf numFmtId="164" fontId="16" fillId="2" borderId="31" xfId="0" applyFont="1" applyFill="1" applyBorder="1" applyAlignment="1">
      <alignment vertical="center" wrapText="1"/>
    </xf>
    <xf numFmtId="164" fontId="16" fillId="2" borderId="4" xfId="0" applyFont="1" applyFill="1" applyBorder="1" applyAlignment="1">
      <alignment vertical="center" wrapText="1"/>
    </xf>
    <xf numFmtId="164" fontId="16" fillId="2" borderId="32" xfId="0" applyFont="1" applyFill="1" applyBorder="1" applyAlignment="1">
      <alignment horizontal="center" vertical="center" wrapText="1"/>
    </xf>
    <xf numFmtId="168" fontId="16" fillId="2" borderId="32" xfId="0" applyNumberFormat="1" applyFont="1" applyFill="1" applyBorder="1" applyAlignment="1">
      <alignment horizontal="right" vertical="center" wrapText="1" indent="1"/>
    </xf>
    <xf numFmtId="168" fontId="12" fillId="0" borderId="4" xfId="0" applyNumberFormat="1" applyFont="1" applyFill="1" applyBorder="1" applyAlignment="1">
      <alignment horizontal="right" vertical="center" wrapText="1" indent="1"/>
    </xf>
    <xf numFmtId="168" fontId="12" fillId="0" borderId="33" xfId="0" applyNumberFormat="1" applyFont="1" applyFill="1" applyBorder="1" applyAlignment="1">
      <alignment horizontal="right" vertical="center" wrapText="1" indent="1"/>
    </xf>
    <xf numFmtId="168" fontId="16" fillId="2" borderId="34" xfId="0" applyNumberFormat="1" applyFont="1" applyFill="1" applyBorder="1" applyAlignment="1">
      <alignment horizontal="right" vertical="center" wrapText="1" indent="1"/>
    </xf>
    <xf numFmtId="168" fontId="16" fillId="2" borderId="4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/>
    </xf>
    <xf numFmtId="164" fontId="12" fillId="0" borderId="0" xfId="0" applyFont="1" applyAlignment="1">
      <alignment horizontal="left"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70" fontId="12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35" xfId="0" applyFont="1" applyBorder="1" applyAlignment="1">
      <alignment horizontal="center" vertical="center" wrapText="1"/>
    </xf>
    <xf numFmtId="164" fontId="12" fillId="0" borderId="36" xfId="0" applyFont="1" applyBorder="1" applyAlignment="1">
      <alignment horizontal="center"/>
    </xf>
    <xf numFmtId="164" fontId="12" fillId="0" borderId="37" xfId="0" applyFont="1" applyBorder="1" applyAlignment="1">
      <alignment horizontal="center"/>
    </xf>
    <xf numFmtId="165" fontId="12" fillId="0" borderId="37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top"/>
    </xf>
    <xf numFmtId="165" fontId="12" fillId="0" borderId="38" xfId="0" applyNumberFormat="1" applyFont="1" applyBorder="1" applyAlignment="1">
      <alignment horizontal="left" vertical="center"/>
    </xf>
    <xf numFmtId="165" fontId="12" fillId="0" borderId="6" xfId="0" applyNumberFormat="1" applyFont="1" applyBorder="1" applyAlignment="1">
      <alignment horizontal="center" vertical="center"/>
    </xf>
    <xf numFmtId="164" fontId="12" fillId="0" borderId="39" xfId="0" applyFont="1" applyBorder="1" applyAlignment="1">
      <alignment horizontal="center"/>
    </xf>
    <xf numFmtId="164" fontId="12" fillId="0" borderId="40" xfId="0" applyFont="1" applyBorder="1" applyAlignment="1">
      <alignment horizontal="center"/>
    </xf>
    <xf numFmtId="165" fontId="12" fillId="0" borderId="40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left" vertical="center"/>
    </xf>
    <xf numFmtId="165" fontId="12" fillId="0" borderId="10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/>
    </xf>
    <xf numFmtId="165" fontId="12" fillId="0" borderId="30" xfId="0" applyNumberFormat="1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4" fontId="12" fillId="0" borderId="39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165" fontId="12" fillId="0" borderId="43" xfId="0" applyNumberFormat="1" applyFont="1" applyBorder="1" applyAlignment="1">
      <alignment horizontal="center" vertical="center"/>
    </xf>
    <xf numFmtId="164" fontId="12" fillId="0" borderId="44" xfId="0" applyFont="1" applyBorder="1" applyAlignment="1">
      <alignment vertical="center" wrapText="1"/>
    </xf>
    <xf numFmtId="164" fontId="12" fillId="0" borderId="45" xfId="0" applyFont="1" applyFill="1" applyBorder="1" applyAlignment="1">
      <alignment horizontal="center"/>
    </xf>
    <xf numFmtId="165" fontId="12" fillId="0" borderId="45" xfId="0" applyNumberFormat="1" applyFont="1" applyBorder="1" applyAlignment="1">
      <alignment horizontal="center" vertical="center"/>
    </xf>
    <xf numFmtId="170" fontId="12" fillId="0" borderId="45" xfId="0" applyNumberFormat="1" applyFont="1" applyBorder="1" applyAlignment="1">
      <alignment horizontal="center" vertical="center"/>
    </xf>
    <xf numFmtId="165" fontId="12" fillId="0" borderId="46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2" fillId="0" borderId="47" xfId="0" applyNumberFormat="1" applyFont="1" applyBorder="1" applyAlignment="1">
      <alignment horizontal="center" vertical="center"/>
    </xf>
    <xf numFmtId="164" fontId="13" fillId="0" borderId="48" xfId="0" applyFont="1" applyBorder="1" applyAlignment="1">
      <alignment horizontal="center" vertical="center"/>
    </xf>
    <xf numFmtId="164" fontId="13" fillId="0" borderId="44" xfId="0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 vertical="center"/>
    </xf>
    <xf numFmtId="165" fontId="13" fillId="0" borderId="47" xfId="0" applyNumberFormat="1" applyFont="1" applyBorder="1" applyAlignment="1">
      <alignment horizontal="center" vertical="center"/>
    </xf>
    <xf numFmtId="164" fontId="12" fillId="0" borderId="0" xfId="0" applyFont="1" applyAlignment="1">
      <alignment vertical="center" wrapText="1"/>
    </xf>
    <xf numFmtId="164" fontId="16" fillId="2" borderId="49" xfId="0" applyFont="1" applyFill="1" applyBorder="1" applyAlignment="1">
      <alignment horizontal="left" vertical="center" wrapText="1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2" fillId="2" borderId="50" xfId="0" applyNumberFormat="1" applyFont="1" applyFill="1" applyBorder="1" applyAlignment="1">
      <alignment horizontal="center" vertical="center" wrapText="1"/>
    </xf>
    <xf numFmtId="168" fontId="12" fillId="2" borderId="50" xfId="0" applyNumberFormat="1" applyFont="1" applyFill="1" applyBorder="1" applyAlignment="1">
      <alignment horizontal="center" vertical="center" wrapText="1"/>
    </xf>
    <xf numFmtId="168" fontId="19" fillId="2" borderId="50" xfId="0" applyNumberFormat="1" applyFont="1" applyFill="1" applyBorder="1" applyAlignment="1">
      <alignment horizontal="center" vertical="center" wrapText="1"/>
    </xf>
    <xf numFmtId="168" fontId="19" fillId="2" borderId="51" xfId="0" applyNumberFormat="1" applyFont="1" applyFill="1" applyBorder="1" applyAlignment="1">
      <alignment horizontal="center" vertical="center" wrapText="1"/>
    </xf>
    <xf numFmtId="164" fontId="12" fillId="0" borderId="49" xfId="0" applyFont="1" applyBorder="1" applyAlignment="1">
      <alignment horizontal="left" vertical="center" wrapText="1"/>
    </xf>
    <xf numFmtId="165" fontId="12" fillId="0" borderId="50" xfId="0" applyNumberFormat="1" applyFont="1" applyBorder="1" applyAlignment="1">
      <alignment horizontal="center" wrapText="1"/>
    </xf>
    <xf numFmtId="165" fontId="12" fillId="0" borderId="50" xfId="0" applyNumberFormat="1" applyFont="1" applyBorder="1" applyAlignment="1">
      <alignment horizontal="center" vertical="center" wrapText="1"/>
    </xf>
    <xf numFmtId="168" fontId="12" fillId="0" borderId="50" xfId="0" applyNumberFormat="1" applyFont="1" applyBorder="1" applyAlignment="1">
      <alignment horizontal="center" vertical="center" wrapText="1"/>
    </xf>
    <xf numFmtId="168" fontId="12" fillId="0" borderId="50" xfId="0" applyNumberFormat="1" applyFont="1" applyBorder="1" applyAlignment="1">
      <alignment horizontal="center" vertical="center"/>
    </xf>
    <xf numFmtId="168" fontId="20" fillId="0" borderId="50" xfId="0" applyNumberFormat="1" applyFont="1" applyBorder="1" applyAlignment="1">
      <alignment horizontal="center" vertical="center"/>
    </xf>
    <xf numFmtId="168" fontId="21" fillId="0" borderId="51" xfId="0" applyNumberFormat="1" applyFont="1" applyBorder="1" applyAlignment="1">
      <alignment horizontal="center" vertical="center"/>
    </xf>
    <xf numFmtId="164" fontId="16" fillId="7" borderId="48" xfId="0" applyFont="1" applyFill="1" applyBorder="1" applyAlignment="1">
      <alignment horizontal="left" vertical="center" wrapText="1"/>
    </xf>
    <xf numFmtId="165" fontId="12" fillId="7" borderId="44" xfId="0" applyNumberFormat="1" applyFont="1" applyFill="1" applyBorder="1" applyAlignment="1">
      <alignment horizont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8" fontId="16" fillId="7" borderId="44" xfId="0" applyNumberFormat="1" applyFont="1" applyFill="1" applyBorder="1" applyAlignment="1">
      <alignment horizontal="center" vertical="center"/>
    </xf>
    <xf numFmtId="168" fontId="19" fillId="7" borderId="44" xfId="0" applyNumberFormat="1" applyFont="1" applyFill="1" applyBorder="1" applyAlignment="1">
      <alignment horizontal="center" vertical="center"/>
    </xf>
    <xf numFmtId="168" fontId="12" fillId="7" borderId="44" xfId="0" applyNumberFormat="1" applyFont="1" applyFill="1" applyBorder="1" applyAlignment="1">
      <alignment horizontal="center" vertical="center"/>
    </xf>
    <xf numFmtId="168" fontId="19" fillId="7" borderId="47" xfId="0" applyNumberFormat="1" applyFont="1" applyFill="1" applyBorder="1" applyAlignment="1">
      <alignment horizontal="center" vertical="center"/>
    </xf>
    <xf numFmtId="164" fontId="12" fillId="4" borderId="52" xfId="0" applyFont="1" applyFill="1" applyBorder="1" applyAlignment="1">
      <alignment horizontal="left" vertical="center" wrapText="1"/>
    </xf>
    <xf numFmtId="165" fontId="12" fillId="4" borderId="53" xfId="0" applyNumberFormat="1" applyFont="1" applyFill="1" applyBorder="1" applyAlignment="1">
      <alignment horizontal="center"/>
    </xf>
    <xf numFmtId="165" fontId="12" fillId="4" borderId="53" xfId="0" applyNumberFormat="1" applyFont="1" applyFill="1" applyBorder="1" applyAlignment="1">
      <alignment horizontal="center" vertical="center" wrapText="1"/>
    </xf>
    <xf numFmtId="168" fontId="12" fillId="4" borderId="53" xfId="0" applyNumberFormat="1" applyFont="1" applyFill="1" applyBorder="1" applyAlignment="1">
      <alignment horizontal="center" vertical="center"/>
    </xf>
    <xf numFmtId="168" fontId="21" fillId="4" borderId="54" xfId="0" applyNumberFormat="1" applyFont="1" applyFill="1" applyBorder="1" applyAlignment="1">
      <alignment horizontal="center" vertical="center"/>
    </xf>
    <xf numFmtId="164" fontId="12" fillId="4" borderId="55" xfId="0" applyFont="1" applyFill="1" applyBorder="1" applyAlignment="1">
      <alignment horizontal="left" vertical="center" wrapText="1"/>
    </xf>
    <xf numFmtId="165" fontId="12" fillId="4" borderId="56" xfId="0" applyNumberFormat="1" applyFont="1" applyFill="1" applyBorder="1" applyAlignment="1">
      <alignment horizontal="center"/>
    </xf>
    <xf numFmtId="165" fontId="12" fillId="4" borderId="56" xfId="0" applyNumberFormat="1" applyFont="1" applyFill="1" applyBorder="1" applyAlignment="1">
      <alignment horizontal="center" vertical="center" wrapText="1"/>
    </xf>
    <xf numFmtId="168" fontId="12" fillId="4" borderId="56" xfId="0" applyNumberFormat="1" applyFont="1" applyFill="1" applyBorder="1" applyAlignment="1">
      <alignment horizontal="center" vertical="center"/>
    </xf>
    <xf numFmtId="168" fontId="21" fillId="4" borderId="57" xfId="0" applyNumberFormat="1" applyFont="1" applyFill="1" applyBorder="1" applyAlignment="1">
      <alignment horizontal="center" vertical="center"/>
    </xf>
    <xf numFmtId="164" fontId="16" fillId="8" borderId="58" xfId="0" applyFont="1" applyFill="1" applyBorder="1" applyAlignment="1">
      <alignment horizontal="left" vertical="center" wrapText="1"/>
    </xf>
    <xf numFmtId="165" fontId="16" fillId="8" borderId="36" xfId="0" applyNumberFormat="1" applyFont="1" applyFill="1" applyBorder="1" applyAlignment="1">
      <alignment horizontal="center" wrapText="1"/>
    </xf>
    <xf numFmtId="165" fontId="16" fillId="8" borderId="59" xfId="0" applyNumberFormat="1" applyFont="1" applyFill="1" applyBorder="1" applyAlignment="1">
      <alignment horizontal="center" vertical="center" wrapText="1"/>
    </xf>
    <xf numFmtId="168" fontId="16" fillId="8" borderId="36" xfId="0" applyNumberFormat="1" applyFont="1" applyFill="1" applyBorder="1" applyAlignment="1">
      <alignment horizontal="center" vertical="center" wrapText="1"/>
    </xf>
    <xf numFmtId="168" fontId="21" fillId="8" borderId="36" xfId="0" applyNumberFormat="1" applyFont="1" applyFill="1" applyBorder="1" applyAlignment="1">
      <alignment horizontal="center" vertical="center"/>
    </xf>
    <xf numFmtId="168" fontId="16" fillId="8" borderId="36" xfId="0" applyNumberFormat="1" applyFont="1" applyFill="1" applyBorder="1" applyAlignment="1">
      <alignment horizontal="center" vertical="center"/>
    </xf>
    <xf numFmtId="168" fontId="21" fillId="8" borderId="60" xfId="0" applyNumberFormat="1" applyFont="1" applyFill="1" applyBorder="1" applyAlignment="1">
      <alignment horizontal="center" vertical="center"/>
    </xf>
    <xf numFmtId="164" fontId="12" fillId="0" borderId="55" xfId="0" applyFont="1" applyFill="1" applyBorder="1" applyAlignment="1">
      <alignment horizontal="left" vertical="center" wrapText="1"/>
    </xf>
    <xf numFmtId="165" fontId="12" fillId="0" borderId="56" xfId="0" applyNumberFormat="1" applyFont="1" applyFill="1" applyBorder="1" applyAlignment="1">
      <alignment horizontal="center"/>
    </xf>
    <xf numFmtId="165" fontId="12" fillId="9" borderId="56" xfId="0" applyNumberFormat="1" applyFont="1" applyFill="1" applyBorder="1" applyAlignment="1">
      <alignment horizontal="center" vertical="center" wrapText="1"/>
    </xf>
    <xf numFmtId="168" fontId="12" fillId="0" borderId="56" xfId="0" applyNumberFormat="1" applyFont="1" applyFill="1" applyBorder="1" applyAlignment="1">
      <alignment horizontal="center" vertical="center"/>
    </xf>
    <xf numFmtId="168" fontId="12" fillId="9" borderId="56" xfId="0" applyNumberFormat="1" applyFont="1" applyFill="1" applyBorder="1" applyAlignment="1">
      <alignment horizontal="center" vertical="center"/>
    </xf>
    <xf numFmtId="168" fontId="21" fillId="0" borderId="57" xfId="0" applyNumberFormat="1" applyFont="1" applyFill="1" applyBorder="1" applyAlignment="1">
      <alignment horizontal="center" vertical="center"/>
    </xf>
    <xf numFmtId="164" fontId="12" fillId="0" borderId="61" xfId="0" applyFont="1" applyFill="1" applyBorder="1" applyAlignment="1">
      <alignment horizontal="left" vertical="center" wrapText="1"/>
    </xf>
    <xf numFmtId="165" fontId="12" fillId="0" borderId="62" xfId="0" applyNumberFormat="1" applyFont="1" applyFill="1" applyBorder="1" applyAlignment="1">
      <alignment horizontal="center"/>
    </xf>
    <xf numFmtId="165" fontId="12" fillId="9" borderId="62" xfId="0" applyNumberFormat="1" applyFont="1" applyFill="1" applyBorder="1" applyAlignment="1">
      <alignment horizontal="center" vertical="center" wrapText="1"/>
    </xf>
    <xf numFmtId="168" fontId="12" fillId="0" borderId="62" xfId="0" applyNumberFormat="1" applyFont="1" applyFill="1" applyBorder="1" applyAlignment="1">
      <alignment horizontal="center" vertical="center"/>
    </xf>
    <xf numFmtId="168" fontId="12" fillId="9" borderId="62" xfId="0" applyNumberFormat="1" applyFont="1" applyFill="1" applyBorder="1" applyAlignment="1">
      <alignment horizontal="center" vertical="center"/>
    </xf>
    <xf numFmtId="168" fontId="21" fillId="0" borderId="63" xfId="0" applyNumberFormat="1" applyFont="1" applyFill="1" applyBorder="1" applyAlignment="1">
      <alignment horizontal="center" vertical="center"/>
    </xf>
    <xf numFmtId="164" fontId="16" fillId="8" borderId="64" xfId="0" applyFont="1" applyFill="1" applyBorder="1" applyAlignment="1">
      <alignment horizontal="left" vertical="center" wrapText="1"/>
    </xf>
    <xf numFmtId="165" fontId="16" fillId="8" borderId="59" xfId="0" applyNumberFormat="1" applyFont="1" applyFill="1" applyBorder="1" applyAlignment="1">
      <alignment horizontal="center" wrapText="1"/>
    </xf>
    <xf numFmtId="168" fontId="16" fillId="8" borderId="59" xfId="0" applyNumberFormat="1" applyFont="1" applyFill="1" applyBorder="1" applyAlignment="1">
      <alignment horizontal="center" vertical="center" wrapText="1"/>
    </xf>
    <xf numFmtId="168" fontId="21" fillId="8" borderId="59" xfId="0" applyNumberFormat="1" applyFont="1" applyFill="1" applyBorder="1" applyAlignment="1">
      <alignment horizontal="center" vertical="center"/>
    </xf>
    <xf numFmtId="168" fontId="16" fillId="8" borderId="59" xfId="0" applyNumberFormat="1" applyFont="1" applyFill="1" applyBorder="1" applyAlignment="1">
      <alignment horizontal="center" vertical="center"/>
    </xf>
    <xf numFmtId="168" fontId="21" fillId="8" borderId="65" xfId="0" applyNumberFormat="1" applyFont="1" applyFill="1" applyBorder="1" applyAlignment="1">
      <alignment horizontal="center" vertical="center"/>
    </xf>
    <xf numFmtId="164" fontId="12" fillId="0" borderId="55" xfId="0" applyFont="1" applyBorder="1" applyAlignment="1">
      <alignment horizontal="left" vertical="center" wrapText="1"/>
    </xf>
    <xf numFmtId="165" fontId="12" fillId="0" borderId="56" xfId="0" applyNumberFormat="1" applyFont="1" applyBorder="1" applyAlignment="1">
      <alignment horizontal="center"/>
    </xf>
    <xf numFmtId="165" fontId="12" fillId="0" borderId="56" xfId="0" applyNumberFormat="1" applyFont="1" applyBorder="1" applyAlignment="1">
      <alignment horizontal="center" vertical="center" wrapText="1"/>
    </xf>
    <xf numFmtId="168" fontId="12" fillId="0" borderId="56" xfId="0" applyNumberFormat="1" applyFont="1" applyBorder="1" applyAlignment="1">
      <alignment horizontal="center" vertical="center"/>
    </xf>
    <xf numFmtId="168" fontId="21" fillId="0" borderId="57" xfId="0" applyNumberFormat="1" applyFont="1" applyBorder="1" applyAlignment="1">
      <alignment horizontal="center" vertical="center"/>
    </xf>
    <xf numFmtId="164" fontId="16" fillId="4" borderId="55" xfId="0" applyFont="1" applyFill="1" applyBorder="1" applyAlignment="1">
      <alignment horizontal="left" vertical="center" wrapText="1"/>
    </xf>
    <xf numFmtId="165" fontId="16" fillId="4" borderId="56" xfId="0" applyNumberFormat="1" applyFont="1" applyFill="1" applyBorder="1" applyAlignment="1">
      <alignment horizontal="center" vertical="center" wrapText="1"/>
    </xf>
    <xf numFmtId="168" fontId="16" fillId="4" borderId="56" xfId="0" applyNumberFormat="1" applyFont="1" applyFill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2" fillId="9" borderId="66" xfId="0" applyNumberFormat="1" applyFont="1" applyFill="1" applyBorder="1" applyAlignment="1">
      <alignment horizontal="center" vertical="center"/>
    </xf>
    <xf numFmtId="168" fontId="12" fillId="9" borderId="3" xfId="0" applyNumberFormat="1" applyFont="1" applyFill="1" applyBorder="1" applyAlignment="1">
      <alignment horizontal="center" vertical="center"/>
    </xf>
    <xf numFmtId="168" fontId="12" fillId="0" borderId="56" xfId="0" applyNumberFormat="1" applyFont="1" applyFill="1" applyBorder="1" applyAlignment="1">
      <alignment vertical="center" wrapText="1"/>
    </xf>
    <xf numFmtId="165" fontId="16" fillId="4" borderId="56" xfId="0" applyNumberFormat="1" applyFont="1" applyFill="1" applyBorder="1" applyAlignment="1">
      <alignment horizontal="left" vertical="center" wrapText="1"/>
    </xf>
    <xf numFmtId="165" fontId="16" fillId="4" borderId="56" xfId="0" applyNumberFormat="1" applyFont="1" applyFill="1" applyBorder="1" applyAlignment="1">
      <alignment horizontal="center"/>
    </xf>
    <xf numFmtId="164" fontId="12" fillId="0" borderId="52" xfId="0" applyFont="1" applyBorder="1" applyAlignment="1">
      <alignment horizontal="left" vertical="center" wrapText="1"/>
    </xf>
    <xf numFmtId="165" fontId="12" fillId="0" borderId="53" xfId="0" applyNumberFormat="1" applyFont="1" applyBorder="1" applyAlignment="1">
      <alignment horizontal="center" wrapText="1"/>
    </xf>
    <xf numFmtId="165" fontId="12" fillId="0" borderId="53" xfId="0" applyNumberFormat="1" applyFont="1" applyBorder="1" applyAlignment="1">
      <alignment horizontal="center" vertical="center" wrapText="1"/>
    </xf>
    <xf numFmtId="168" fontId="12" fillId="0" borderId="53" xfId="0" applyNumberFormat="1" applyFont="1" applyBorder="1" applyAlignment="1">
      <alignment horizontal="center" vertical="center" wrapText="1"/>
    </xf>
    <xf numFmtId="168" fontId="12" fillId="0" borderId="53" xfId="0" applyNumberFormat="1" applyFont="1" applyBorder="1" applyAlignment="1">
      <alignment horizontal="center" vertical="center"/>
    </xf>
    <xf numFmtId="168" fontId="20" fillId="0" borderId="53" xfId="0" applyNumberFormat="1" applyFont="1" applyBorder="1" applyAlignment="1">
      <alignment horizontal="center" vertical="center"/>
    </xf>
    <xf numFmtId="168" fontId="21" fillId="0" borderId="54" xfId="0" applyNumberFormat="1" applyFont="1" applyBorder="1" applyAlignment="1">
      <alignment horizontal="center" vertical="center"/>
    </xf>
    <xf numFmtId="165" fontId="12" fillId="0" borderId="56" xfId="0" applyNumberFormat="1" applyFont="1" applyBorder="1" applyAlignment="1">
      <alignment horizontal="center" wrapText="1"/>
    </xf>
    <xf numFmtId="168" fontId="12" fillId="0" borderId="56" xfId="0" applyNumberFormat="1" applyFont="1" applyFill="1" applyBorder="1" applyAlignment="1">
      <alignment horizontal="center" vertical="center" wrapText="1"/>
    </xf>
    <xf numFmtId="164" fontId="12" fillId="0" borderId="67" xfId="0" applyFont="1" applyBorder="1" applyAlignment="1">
      <alignment horizontal="left" vertical="center" wrapText="1"/>
    </xf>
    <xf numFmtId="168" fontId="12" fillId="0" borderId="56" xfId="0" applyNumberFormat="1" applyFont="1" applyBorder="1" applyAlignment="1">
      <alignment horizontal="center" vertical="center" wrapText="1"/>
    </xf>
    <xf numFmtId="164" fontId="16" fillId="7" borderId="64" xfId="0" applyFont="1" applyFill="1" applyBorder="1" applyAlignment="1">
      <alignment horizontal="left" vertical="center" wrapText="1"/>
    </xf>
    <xf numFmtId="165" fontId="16" fillId="7" borderId="59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 vertical="center" wrapText="1"/>
    </xf>
    <xf numFmtId="168" fontId="16" fillId="7" borderId="59" xfId="0" applyNumberFormat="1" applyFont="1" applyFill="1" applyBorder="1" applyAlignment="1">
      <alignment horizontal="center" vertical="center"/>
    </xf>
    <xf numFmtId="168" fontId="21" fillId="7" borderId="65" xfId="0" applyNumberFormat="1" applyFont="1" applyFill="1" applyBorder="1" applyAlignment="1">
      <alignment horizontal="center" vertical="center"/>
    </xf>
    <xf numFmtId="165" fontId="12" fillId="0" borderId="53" xfId="0" applyNumberFormat="1" applyFont="1" applyBorder="1" applyAlignment="1">
      <alignment horizontal="center"/>
    </xf>
    <xf numFmtId="168" fontId="12" fillId="0" borderId="53" xfId="0" applyNumberFormat="1" applyFont="1" applyFill="1" applyBorder="1" applyAlignment="1">
      <alignment horizontal="center" vertical="center"/>
    </xf>
    <xf numFmtId="165" fontId="12" fillId="0" borderId="68" xfId="0" applyNumberFormat="1" applyFont="1" applyBorder="1" applyAlignment="1">
      <alignment horizontal="center"/>
    </xf>
    <xf numFmtId="165" fontId="12" fillId="9" borderId="68" xfId="0" applyNumberFormat="1" applyFont="1" applyFill="1" applyBorder="1" applyAlignment="1">
      <alignment horizontal="center" vertical="center"/>
    </xf>
    <xf numFmtId="168" fontId="12" fillId="0" borderId="68" xfId="0" applyNumberFormat="1" applyFont="1" applyFill="1" applyBorder="1" applyAlignment="1">
      <alignment horizontal="center" vertical="center"/>
    </xf>
    <xf numFmtId="168" fontId="12" fillId="0" borderId="68" xfId="0" applyNumberFormat="1" applyFont="1" applyBorder="1" applyAlignment="1">
      <alignment horizontal="center" vertical="center"/>
    </xf>
    <xf numFmtId="168" fontId="21" fillId="0" borderId="42" xfId="0" applyNumberFormat="1" applyFont="1" applyBorder="1" applyAlignment="1">
      <alignment horizontal="center" vertical="center"/>
    </xf>
    <xf numFmtId="165" fontId="12" fillId="7" borderId="59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 vertical="center"/>
    </xf>
    <xf numFmtId="168" fontId="19" fillId="7" borderId="59" xfId="0" applyNumberFormat="1" applyFont="1" applyFill="1" applyBorder="1" applyAlignment="1">
      <alignment horizontal="center" vertical="center"/>
    </xf>
    <xf numFmtId="165" fontId="12" fillId="4" borderId="53" xfId="0" applyNumberFormat="1" applyFont="1" applyFill="1" applyBorder="1" applyAlignment="1">
      <alignment horizontal="center" vertical="center"/>
    </xf>
    <xf numFmtId="165" fontId="12" fillId="4" borderId="56" xfId="0" applyNumberFormat="1" applyFont="1" applyFill="1" applyBorder="1" applyAlignment="1">
      <alignment horizontal="center" vertical="center"/>
    </xf>
    <xf numFmtId="165" fontId="12" fillId="0" borderId="56" xfId="0" applyNumberFormat="1" applyFont="1" applyBorder="1" applyAlignment="1">
      <alignment horizontal="center" vertical="center"/>
    </xf>
    <xf numFmtId="168" fontId="20" fillId="0" borderId="56" xfId="0" applyNumberFormat="1" applyFont="1" applyBorder="1" applyAlignment="1">
      <alignment horizontal="center" vertical="center"/>
    </xf>
    <xf numFmtId="165" fontId="12" fillId="8" borderId="59" xfId="0" applyNumberFormat="1" applyFont="1" applyFill="1" applyBorder="1" applyAlignment="1">
      <alignment horizontal="center"/>
    </xf>
    <xf numFmtId="165" fontId="16" fillId="8" borderId="59" xfId="0" applyNumberFormat="1" applyFont="1" applyFill="1" applyBorder="1" applyAlignment="1">
      <alignment horizontal="center" vertical="center"/>
    </xf>
    <xf numFmtId="168" fontId="19" fillId="8" borderId="59" xfId="0" applyNumberFormat="1" applyFont="1" applyFill="1" applyBorder="1" applyAlignment="1">
      <alignment horizontal="center" vertical="center"/>
    </xf>
    <xf numFmtId="165" fontId="12" fillId="9" borderId="56" xfId="0" applyNumberFormat="1" applyFont="1" applyFill="1" applyBorder="1" applyAlignment="1">
      <alignment horizontal="center" vertical="center"/>
    </xf>
    <xf numFmtId="168" fontId="12" fillId="0" borderId="66" xfId="0" applyNumberFormat="1" applyFont="1" applyBorder="1" applyAlignment="1">
      <alignment horizontal="center" vertical="center"/>
    </xf>
    <xf numFmtId="168" fontId="12" fillId="7" borderId="59" xfId="0" applyNumberFormat="1" applyFont="1" applyFill="1" applyBorder="1" applyAlignment="1">
      <alignment horizontal="center" vertical="center"/>
    </xf>
    <xf numFmtId="164" fontId="12" fillId="0" borderId="69" xfId="0" applyFont="1" applyBorder="1" applyAlignment="1">
      <alignment horizontal="left" vertical="center" wrapText="1"/>
    </xf>
    <xf numFmtId="165" fontId="12" fillId="0" borderId="39" xfId="0" applyNumberFormat="1" applyFont="1" applyBorder="1" applyAlignment="1">
      <alignment horizontal="center"/>
    </xf>
    <xf numFmtId="165" fontId="12" fillId="0" borderId="39" xfId="0" applyNumberFormat="1" applyFont="1" applyBorder="1" applyAlignment="1">
      <alignment horizontal="center" vertical="center"/>
    </xf>
    <xf numFmtId="168" fontId="12" fillId="0" borderId="39" xfId="0" applyNumberFormat="1" applyFont="1" applyBorder="1" applyAlignment="1">
      <alignment horizontal="center" vertical="center"/>
    </xf>
    <xf numFmtId="168" fontId="21" fillId="0" borderId="43" xfId="0" applyNumberFormat="1" applyFont="1" applyBorder="1" applyAlignment="1">
      <alignment horizontal="center" vertical="center"/>
    </xf>
    <xf numFmtId="168" fontId="12" fillId="8" borderId="59" xfId="0" applyNumberFormat="1" applyFont="1" applyFill="1" applyBorder="1" applyAlignment="1">
      <alignment horizontal="center" vertical="center"/>
    </xf>
    <xf numFmtId="165" fontId="12" fillId="0" borderId="53" xfId="0" applyNumberFormat="1" applyFont="1" applyBorder="1" applyAlignment="1">
      <alignment horizontal="center" vertical="center"/>
    </xf>
    <xf numFmtId="165" fontId="12" fillId="6" borderId="68" xfId="0" applyNumberFormat="1" applyFont="1" applyFill="1" applyBorder="1" applyAlignment="1">
      <alignment horizontal="center"/>
    </xf>
    <xf numFmtId="168" fontId="12" fillId="9" borderId="68" xfId="0" applyNumberFormat="1" applyFont="1" applyFill="1" applyBorder="1" applyAlignment="1">
      <alignment horizontal="center" vertical="center"/>
    </xf>
    <xf numFmtId="168" fontId="12" fillId="6" borderId="68" xfId="0" applyNumberFormat="1" applyFont="1" applyFill="1" applyBorder="1" applyAlignment="1">
      <alignment horizontal="center" vertical="center"/>
    </xf>
    <xf numFmtId="168" fontId="20" fillId="6" borderId="42" xfId="0" applyNumberFormat="1" applyFont="1" applyFill="1" applyBorder="1" applyAlignment="1">
      <alignment horizontal="center" vertical="center"/>
    </xf>
    <xf numFmtId="164" fontId="12" fillId="6" borderId="55" xfId="0" applyFont="1" applyFill="1" applyBorder="1" applyAlignment="1">
      <alignment horizontal="left" vertical="center" wrapText="1"/>
    </xf>
    <xf numFmtId="165" fontId="16" fillId="8" borderId="59" xfId="0" applyNumberFormat="1" applyFont="1" applyFill="1" applyBorder="1" applyAlignment="1">
      <alignment horizontal="center"/>
    </xf>
    <xf numFmtId="168" fontId="19" fillId="7" borderId="65" xfId="0" applyNumberFormat="1" applyFont="1" applyFill="1" applyBorder="1" applyAlignment="1">
      <alignment horizontal="center" vertical="center"/>
    </xf>
    <xf numFmtId="165" fontId="12" fillId="4" borderId="68" xfId="0" applyNumberFormat="1" applyFont="1" applyFill="1" applyBorder="1" applyAlignment="1">
      <alignment horizontal="center"/>
    </xf>
    <xf numFmtId="165" fontId="12" fillId="4" borderId="68" xfId="0" applyNumberFormat="1" applyFont="1" applyFill="1" applyBorder="1" applyAlignment="1">
      <alignment horizontal="center" vertical="center"/>
    </xf>
    <xf numFmtId="168" fontId="12" fillId="4" borderId="68" xfId="0" applyNumberFormat="1" applyFont="1" applyFill="1" applyBorder="1" applyAlignment="1">
      <alignment horizontal="center" vertical="center"/>
    </xf>
    <xf numFmtId="168" fontId="21" fillId="4" borderId="42" xfId="0" applyNumberFormat="1" applyFont="1" applyFill="1" applyBorder="1" applyAlignment="1">
      <alignment horizontal="center" vertical="center"/>
    </xf>
    <xf numFmtId="168" fontId="12" fillId="0" borderId="39" xfId="0" applyNumberFormat="1" applyFont="1" applyFill="1" applyBorder="1" applyAlignment="1">
      <alignment horizontal="center" vertical="center"/>
    </xf>
    <xf numFmtId="168" fontId="12" fillId="9" borderId="39" xfId="0" applyNumberFormat="1" applyFont="1" applyFill="1" applyBorder="1" applyAlignment="1">
      <alignment horizontal="center" vertical="center"/>
    </xf>
    <xf numFmtId="168" fontId="12" fillId="0" borderId="62" xfId="0" applyNumberFormat="1" applyFont="1" applyFill="1" applyBorder="1" applyAlignment="1">
      <alignment vertical="center" wrapText="1"/>
    </xf>
    <xf numFmtId="168" fontId="12" fillId="8" borderId="44" xfId="0" applyNumberFormat="1" applyFont="1" applyFill="1" applyBorder="1" applyAlignment="1">
      <alignment horizontal="center" vertical="center"/>
    </xf>
    <xf numFmtId="165" fontId="16" fillId="4" borderId="56" xfId="0" applyNumberFormat="1" applyFont="1" applyFill="1" applyBorder="1" applyAlignment="1">
      <alignment horizontal="left" vertical="center"/>
    </xf>
    <xf numFmtId="168" fontId="21" fillId="4" borderId="56" xfId="0" applyNumberFormat="1" applyFont="1" applyFill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/>
    </xf>
    <xf numFmtId="165" fontId="12" fillId="9" borderId="62" xfId="0" applyNumberFormat="1" applyFont="1" applyFill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168" fontId="21" fillId="0" borderId="63" xfId="0" applyNumberFormat="1" applyFont="1" applyBorder="1" applyAlignment="1">
      <alignment horizontal="center" vertical="center"/>
    </xf>
    <xf numFmtId="164" fontId="12" fillId="10" borderId="52" xfId="0" applyFont="1" applyFill="1" applyBorder="1" applyAlignment="1">
      <alignment horizontal="left" vertical="center" wrapText="1"/>
    </xf>
    <xf numFmtId="165" fontId="12" fillId="10" borderId="53" xfId="0" applyNumberFormat="1" applyFont="1" applyFill="1" applyBorder="1" applyAlignment="1">
      <alignment horizontal="center"/>
    </xf>
    <xf numFmtId="165" fontId="12" fillId="10" borderId="53" xfId="0" applyNumberFormat="1" applyFont="1" applyFill="1" applyBorder="1" applyAlignment="1">
      <alignment horizontal="center" vertical="center" wrapText="1"/>
    </xf>
    <xf numFmtId="168" fontId="12" fillId="10" borderId="53" xfId="0" applyNumberFormat="1" applyFont="1" applyFill="1" applyBorder="1" applyAlignment="1">
      <alignment horizontal="center" vertical="center"/>
    </xf>
    <xf numFmtId="168" fontId="21" fillId="10" borderId="54" xfId="0" applyNumberFormat="1" applyFont="1" applyFill="1" applyBorder="1" applyAlignment="1">
      <alignment horizontal="center" vertical="center"/>
    </xf>
    <xf numFmtId="164" fontId="12" fillId="10" borderId="55" xfId="0" applyFont="1" applyFill="1" applyBorder="1" applyAlignment="1">
      <alignment horizontal="left" vertical="center" wrapText="1"/>
    </xf>
    <xf numFmtId="165" fontId="12" fillId="10" borderId="56" xfId="0" applyNumberFormat="1" applyFont="1" applyFill="1" applyBorder="1" applyAlignment="1">
      <alignment horizontal="center"/>
    </xf>
    <xf numFmtId="165" fontId="12" fillId="10" borderId="56" xfId="0" applyNumberFormat="1" applyFont="1" applyFill="1" applyBorder="1" applyAlignment="1">
      <alignment horizontal="center" vertical="center" wrapText="1"/>
    </xf>
    <xf numFmtId="168" fontId="12" fillId="10" borderId="56" xfId="0" applyNumberFormat="1" applyFont="1" applyFill="1" applyBorder="1" applyAlignment="1">
      <alignment horizontal="center" vertical="center"/>
    </xf>
    <xf numFmtId="168" fontId="21" fillId="10" borderId="57" xfId="0" applyNumberFormat="1" applyFont="1" applyFill="1" applyBorder="1" applyAlignment="1">
      <alignment horizontal="center" vertical="center"/>
    </xf>
    <xf numFmtId="168" fontId="19" fillId="4" borderId="56" xfId="0" applyNumberFormat="1" applyFont="1" applyFill="1" applyBorder="1" applyAlignment="1">
      <alignment horizontal="center" vertical="center"/>
    </xf>
    <xf numFmtId="168" fontId="12" fillId="9" borderId="27" xfId="0" applyNumberFormat="1" applyFont="1" applyFill="1" applyBorder="1" applyAlignment="1">
      <alignment horizontal="center" vertical="center"/>
    </xf>
    <xf numFmtId="168" fontId="22" fillId="9" borderId="56" xfId="0" applyNumberFormat="1" applyFont="1" applyFill="1" applyBorder="1" applyAlignment="1">
      <alignment horizontal="center" vertical="center"/>
    </xf>
    <xf numFmtId="168" fontId="12" fillId="0" borderId="22" xfId="0" applyNumberFormat="1" applyFont="1" applyFill="1" applyBorder="1" applyAlignment="1">
      <alignment horizontal="center" vertical="center"/>
    </xf>
    <xf numFmtId="168" fontId="16" fillId="0" borderId="56" xfId="0" applyNumberFormat="1" applyFont="1" applyBorder="1" applyAlignment="1">
      <alignment horizontal="center" vertical="center"/>
    </xf>
    <xf numFmtId="165" fontId="12" fillId="9" borderId="68" xfId="0" applyNumberFormat="1" applyFont="1" applyFill="1" applyBorder="1" applyAlignment="1">
      <alignment horizontal="center" vertical="center" wrapText="1"/>
    </xf>
    <xf numFmtId="165" fontId="16" fillId="7" borderId="59" xfId="0" applyNumberFormat="1" applyFont="1" applyFill="1" applyBorder="1" applyAlignment="1">
      <alignment horizontal="left" vertical="center" wrapText="1"/>
    </xf>
    <xf numFmtId="164" fontId="16" fillId="0" borderId="52" xfId="0" applyFont="1" applyBorder="1" applyAlignment="1">
      <alignment horizontal="left" vertical="center" wrapText="1"/>
    </xf>
    <xf numFmtId="165" fontId="16" fillId="0" borderId="53" xfId="0" applyNumberFormat="1" applyFont="1" applyBorder="1" applyAlignment="1">
      <alignment horizontal="center"/>
    </xf>
    <xf numFmtId="168" fontId="16" fillId="0" borderId="53" xfId="0" applyNumberFormat="1" applyFont="1" applyBorder="1" applyAlignment="1">
      <alignment horizontal="center" vertical="center"/>
    </xf>
    <xf numFmtId="164" fontId="16" fillId="7" borderId="64" xfId="0" applyFont="1" applyFill="1" applyBorder="1" applyAlignment="1">
      <alignment horizontal="left" wrapText="1"/>
    </xf>
    <xf numFmtId="164" fontId="12" fillId="4" borderId="52" xfId="0" applyFont="1" applyFill="1" applyBorder="1" applyAlignment="1">
      <alignment horizontal="left" wrapText="1"/>
    </xf>
    <xf numFmtId="164" fontId="12" fillId="4" borderId="55" xfId="0" applyFont="1" applyFill="1" applyBorder="1" applyAlignment="1">
      <alignment horizontal="left" wrapText="1"/>
    </xf>
    <xf numFmtId="164" fontId="12" fillId="0" borderId="52" xfId="0" applyFont="1" applyBorder="1" applyAlignment="1">
      <alignment horizontal="left" wrapText="1"/>
    </xf>
    <xf numFmtId="164" fontId="16" fillId="8" borderId="64" xfId="0" applyFont="1" applyFill="1" applyBorder="1" applyAlignment="1">
      <alignment horizontal="left" wrapText="1"/>
    </xf>
    <xf numFmtId="168" fontId="19" fillId="8" borderId="65" xfId="0" applyNumberFormat="1" applyFont="1" applyFill="1" applyBorder="1" applyAlignment="1">
      <alignment horizontal="center" vertical="center"/>
    </xf>
    <xf numFmtId="164" fontId="12" fillId="0" borderId="61" xfId="0" applyFont="1" applyFill="1" applyBorder="1" applyAlignment="1">
      <alignment horizontal="left" wrapText="1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>
      <alignment horizontal="center" vertical="center"/>
    </xf>
    <xf numFmtId="164" fontId="16" fillId="2" borderId="64" xfId="0" applyFont="1" applyFill="1" applyBorder="1" applyAlignment="1">
      <alignment horizontal="left" vertical="center" wrapText="1"/>
    </xf>
    <xf numFmtId="165" fontId="12" fillId="2" borderId="59" xfId="0" applyNumberFormat="1" applyFont="1" applyFill="1" applyBorder="1" applyAlignment="1">
      <alignment horizontal="center" vertical="center"/>
    </xf>
    <xf numFmtId="168" fontId="12" fillId="2" borderId="59" xfId="0" applyNumberFormat="1" applyFont="1" applyFill="1" applyBorder="1" applyAlignment="1">
      <alignment horizontal="center" vertical="center"/>
    </xf>
    <xf numFmtId="168" fontId="16" fillId="2" borderId="59" xfId="0" applyNumberFormat="1" applyFont="1" applyFill="1" applyBorder="1" applyAlignment="1">
      <alignment horizontal="center" vertical="center"/>
    </xf>
    <xf numFmtId="168" fontId="12" fillId="2" borderId="6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4" fontId="23" fillId="0" borderId="0" xfId="0" applyFont="1" applyBorder="1" applyAlignment="1">
      <alignment/>
    </xf>
    <xf numFmtId="164" fontId="12" fillId="0" borderId="0" xfId="0" applyFont="1" applyAlignment="1">
      <alignment horizontal="left"/>
    </xf>
    <xf numFmtId="168" fontId="12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4" fontId="12" fillId="0" borderId="14" xfId="0" applyFont="1" applyBorder="1" applyAlignment="1">
      <alignment horizontal="left"/>
    </xf>
    <xf numFmtId="164" fontId="12" fillId="0" borderId="38" xfId="0" applyFont="1" applyBorder="1" applyAlignment="1">
      <alignment horizontal="center"/>
    </xf>
    <xf numFmtId="165" fontId="12" fillId="0" borderId="36" xfId="0" applyNumberFormat="1" applyFont="1" applyBorder="1" applyAlignment="1">
      <alignment horizontal="center" vertical="center"/>
    </xf>
    <xf numFmtId="168" fontId="12" fillId="0" borderId="15" xfId="0" applyNumberFormat="1" applyFont="1" applyBorder="1" applyAlignment="1">
      <alignment horizontal="center" vertical="top"/>
    </xf>
    <xf numFmtId="168" fontId="12" fillId="0" borderId="60" xfId="0" applyNumberFormat="1" applyFont="1" applyBorder="1" applyAlignment="1">
      <alignment horizontal="center" vertical="center"/>
    </xf>
    <xf numFmtId="164" fontId="0" fillId="0" borderId="70" xfId="0" applyBorder="1" applyAlignment="1">
      <alignment horizontal="left"/>
    </xf>
    <xf numFmtId="164" fontId="12" fillId="0" borderId="41" xfId="0" applyFont="1" applyBorder="1" applyAlignment="1">
      <alignment horizontal="center"/>
    </xf>
    <xf numFmtId="168" fontId="12" fillId="0" borderId="43" xfId="0" applyNumberFormat="1" applyFont="1" applyBorder="1" applyAlignment="1">
      <alignment horizontal="center" vertical="center"/>
    </xf>
    <xf numFmtId="164" fontId="12" fillId="0" borderId="70" xfId="0" applyFont="1" applyBorder="1" applyAlignment="1">
      <alignment horizontal="center"/>
    </xf>
    <xf numFmtId="164" fontId="12" fillId="0" borderId="71" xfId="0" applyFont="1" applyBorder="1" applyAlignment="1">
      <alignment horizontal="left"/>
    </xf>
    <xf numFmtId="164" fontId="12" fillId="0" borderId="12" xfId="0" applyFont="1" applyBorder="1" applyAlignment="1">
      <alignment horizontal="center"/>
    </xf>
    <xf numFmtId="168" fontId="12" fillId="0" borderId="44" xfId="0" applyNumberFormat="1" applyFont="1" applyBorder="1" applyAlignment="1">
      <alignment horizontal="center" vertical="center"/>
    </xf>
    <xf numFmtId="168" fontId="12" fillId="0" borderId="47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 vertical="center"/>
    </xf>
    <xf numFmtId="168" fontId="13" fillId="0" borderId="47" xfId="0" applyNumberFormat="1" applyFont="1" applyBorder="1" applyAlignment="1">
      <alignment horizontal="center" vertical="center"/>
    </xf>
    <xf numFmtId="164" fontId="16" fillId="8" borderId="52" xfId="0" applyFont="1" applyFill="1" applyBorder="1" applyAlignment="1">
      <alignment horizontal="left" wrapText="1"/>
    </xf>
    <xf numFmtId="165" fontId="12" fillId="8" borderId="53" xfId="0" applyNumberFormat="1" applyFont="1" applyFill="1" applyBorder="1" applyAlignment="1">
      <alignment horizontal="center" wrapText="1"/>
    </xf>
    <xf numFmtId="168" fontId="16" fillId="8" borderId="53" xfId="0" applyNumberFormat="1" applyFont="1" applyFill="1" applyBorder="1" applyAlignment="1">
      <alignment horizontal="center"/>
    </xf>
    <xf numFmtId="168" fontId="16" fillId="8" borderId="54" xfId="0" applyNumberFormat="1" applyFont="1" applyFill="1" applyBorder="1" applyAlignment="1">
      <alignment horizontal="center"/>
    </xf>
    <xf numFmtId="164" fontId="12" fillId="0" borderId="55" xfId="0" applyFont="1" applyBorder="1" applyAlignment="1">
      <alignment horizontal="left" wrapText="1"/>
    </xf>
    <xf numFmtId="168" fontId="12" fillId="0" borderId="56" xfId="0" applyNumberFormat="1" applyFont="1" applyBorder="1" applyAlignment="1">
      <alignment horizontal="center"/>
    </xf>
    <xf numFmtId="168" fontId="12" fillId="0" borderId="57" xfId="0" applyNumberFormat="1" applyFont="1" applyBorder="1" applyAlignment="1">
      <alignment horizontal="center"/>
    </xf>
    <xf numFmtId="164" fontId="12" fillId="11" borderId="55" xfId="0" applyFont="1" applyFill="1" applyBorder="1" applyAlignment="1">
      <alignment horizontal="left" wrapText="1"/>
    </xf>
    <xf numFmtId="165" fontId="12" fillId="11" borderId="56" xfId="0" applyNumberFormat="1" applyFont="1" applyFill="1" applyBorder="1" applyAlignment="1">
      <alignment horizontal="center" wrapText="1"/>
    </xf>
    <xf numFmtId="165" fontId="12" fillId="11" borderId="56" xfId="0" applyNumberFormat="1" applyFont="1" applyFill="1" applyBorder="1" applyAlignment="1">
      <alignment horizontal="center"/>
    </xf>
    <xf numFmtId="168" fontId="16" fillId="11" borderId="56" xfId="0" applyNumberFormat="1" applyFont="1" applyFill="1" applyBorder="1" applyAlignment="1">
      <alignment horizontal="center"/>
    </xf>
    <xf numFmtId="168" fontId="16" fillId="11" borderId="57" xfId="0" applyNumberFormat="1" applyFont="1" applyFill="1" applyBorder="1" applyAlignment="1">
      <alignment horizontal="center"/>
    </xf>
    <xf numFmtId="165" fontId="12" fillId="0" borderId="56" xfId="0" applyNumberFormat="1" applyFont="1" applyBorder="1" applyAlignment="1">
      <alignment horizontal="center"/>
    </xf>
    <xf numFmtId="168" fontId="16" fillId="0" borderId="56" xfId="0" applyNumberFormat="1" applyFont="1" applyBorder="1" applyAlignment="1">
      <alignment horizontal="center"/>
    </xf>
    <xf numFmtId="168" fontId="16" fillId="0" borderId="57" xfId="0" applyNumberFormat="1" applyFont="1" applyBorder="1" applyAlignment="1">
      <alignment horizontal="center"/>
    </xf>
    <xf numFmtId="164" fontId="16" fillId="0" borderId="55" xfId="0" applyFont="1" applyBorder="1" applyAlignment="1">
      <alignment horizontal="left" wrapText="1"/>
    </xf>
    <xf numFmtId="165" fontId="12" fillId="0" borderId="56" xfId="0" applyNumberFormat="1" applyFont="1" applyBorder="1" applyAlignment="1">
      <alignment horizontal="left" wrapText="1"/>
    </xf>
    <xf numFmtId="164" fontId="16" fillId="5" borderId="55" xfId="0" applyFont="1" applyFill="1" applyBorder="1" applyAlignment="1">
      <alignment horizontal="left" wrapText="1"/>
    </xf>
    <xf numFmtId="165" fontId="12" fillId="5" borderId="56" xfId="0" applyNumberFormat="1" applyFont="1" applyFill="1" applyBorder="1" applyAlignment="1">
      <alignment horizontal="center" wrapText="1"/>
    </xf>
    <xf numFmtId="165" fontId="12" fillId="5" borderId="56" xfId="0" applyNumberFormat="1" applyFont="1" applyFill="1" applyBorder="1" applyAlignment="1">
      <alignment horizontal="center"/>
    </xf>
    <xf numFmtId="168" fontId="16" fillId="5" borderId="56" xfId="0" applyNumberFormat="1" applyFont="1" applyFill="1" applyBorder="1" applyAlignment="1">
      <alignment horizontal="center"/>
    </xf>
    <xf numFmtId="168" fontId="1" fillId="5" borderId="56" xfId="0" applyNumberFormat="1" applyFont="1" applyFill="1" applyBorder="1" applyAlignment="1">
      <alignment horizontal="center"/>
    </xf>
    <xf numFmtId="168" fontId="12" fillId="5" borderId="56" xfId="0" applyNumberFormat="1" applyFont="1" applyFill="1" applyBorder="1" applyAlignment="1">
      <alignment horizontal="center"/>
    </xf>
    <xf numFmtId="168" fontId="16" fillId="5" borderId="57" xfId="0" applyNumberFormat="1" applyFont="1" applyFill="1" applyBorder="1" applyAlignment="1">
      <alignment horizontal="center"/>
    </xf>
    <xf numFmtId="165" fontId="12" fillId="4" borderId="56" xfId="0" applyNumberFormat="1" applyFont="1" applyFill="1" applyBorder="1" applyAlignment="1">
      <alignment horizontal="center" wrapText="1"/>
    </xf>
    <xf numFmtId="165" fontId="12" fillId="4" borderId="56" xfId="0" applyNumberFormat="1" applyFont="1" applyFill="1" applyBorder="1" applyAlignment="1">
      <alignment horizontal="center"/>
    </xf>
    <xf numFmtId="168" fontId="16" fillId="4" borderId="56" xfId="0" applyNumberFormat="1" applyFont="1" applyFill="1" applyBorder="1" applyAlignment="1">
      <alignment horizontal="center"/>
    </xf>
    <xf numFmtId="168" fontId="1" fillId="4" borderId="56" xfId="0" applyNumberFormat="1" applyFont="1" applyFill="1" applyBorder="1" applyAlignment="1">
      <alignment horizontal="center"/>
    </xf>
    <xf numFmtId="168" fontId="12" fillId="4" borderId="56" xfId="0" applyNumberFormat="1" applyFont="1" applyFill="1" applyBorder="1" applyAlignment="1">
      <alignment horizontal="center"/>
    </xf>
    <xf numFmtId="168" fontId="1" fillId="4" borderId="57" xfId="0" applyNumberFormat="1" applyFont="1" applyFill="1" applyBorder="1" applyAlignment="1">
      <alignment horizontal="center"/>
    </xf>
    <xf numFmtId="168" fontId="12" fillId="0" borderId="56" xfId="0" applyNumberFormat="1" applyFont="1" applyFill="1" applyBorder="1" applyAlignment="1">
      <alignment horizontal="center"/>
    </xf>
    <xf numFmtId="165" fontId="24" fillId="0" borderId="56" xfId="21" applyNumberFormat="1" applyFont="1" applyBorder="1" applyAlignment="1">
      <alignment horizontal="center"/>
      <protection/>
    </xf>
    <xf numFmtId="168" fontId="1" fillId="0" borderId="56" xfId="21" applyNumberFormat="1" applyFont="1" applyBorder="1" applyAlignment="1">
      <alignment horizontal="center"/>
      <protection/>
    </xf>
    <xf numFmtId="168" fontId="1" fillId="0" borderId="57" xfId="21" applyNumberFormat="1" applyFont="1" applyBorder="1" applyAlignment="1">
      <alignment horizontal="center"/>
      <protection/>
    </xf>
    <xf numFmtId="168" fontId="24" fillId="0" borderId="56" xfId="21" applyNumberFormat="1" applyFont="1" applyBorder="1" applyAlignment="1">
      <alignment horizontal="center"/>
      <protection/>
    </xf>
    <xf numFmtId="168" fontId="0" fillId="4" borderId="57" xfId="0" applyNumberFormat="1" applyFont="1" applyFill="1" applyBorder="1" applyAlignment="1">
      <alignment horizontal="center"/>
    </xf>
    <xf numFmtId="168" fontId="12" fillId="5" borderId="57" xfId="0" applyNumberFormat="1" applyFont="1" applyFill="1" applyBorder="1" applyAlignment="1">
      <alignment horizontal="center"/>
    </xf>
    <xf numFmtId="168" fontId="12" fillId="4" borderId="57" xfId="0" applyNumberFormat="1" applyFont="1" applyFill="1" applyBorder="1" applyAlignment="1">
      <alignment horizontal="center"/>
    </xf>
    <xf numFmtId="168" fontId="16" fillId="0" borderId="56" xfId="0" applyNumberFormat="1" applyFont="1" applyFill="1" applyBorder="1" applyAlignment="1">
      <alignment horizontal="center"/>
    </xf>
    <xf numFmtId="164" fontId="12" fillId="0" borderId="61" xfId="0" applyFont="1" applyBorder="1" applyAlignment="1">
      <alignment horizontal="left" wrapText="1"/>
    </xf>
    <xf numFmtId="165" fontId="12" fillId="0" borderId="62" xfId="0" applyNumberFormat="1" applyFont="1" applyBorder="1" applyAlignment="1">
      <alignment horizontal="center" wrapText="1"/>
    </xf>
    <xf numFmtId="165" fontId="12" fillId="0" borderId="62" xfId="0" applyNumberFormat="1" applyFont="1" applyBorder="1" applyAlignment="1">
      <alignment horizontal="center"/>
    </xf>
    <xf numFmtId="168" fontId="16" fillId="0" borderId="62" xfId="0" applyNumberFormat="1" applyFont="1" applyBorder="1" applyAlignment="1">
      <alignment horizontal="center"/>
    </xf>
    <xf numFmtId="168" fontId="12" fillId="0" borderId="63" xfId="0" applyNumberFormat="1" applyFont="1" applyBorder="1" applyAlignment="1">
      <alignment horizontal="center"/>
    </xf>
    <xf numFmtId="164" fontId="16" fillId="0" borderId="0" xfId="0" applyFont="1" applyBorder="1" applyAlignment="1">
      <alignment horizontal="left" wrapText="1"/>
    </xf>
    <xf numFmtId="165" fontId="16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horizontal="left"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8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5" fontId="19" fillId="0" borderId="0" xfId="0" applyNumberFormat="1" applyFont="1" applyAlignment="1">
      <alignment/>
    </xf>
    <xf numFmtId="164" fontId="12" fillId="0" borderId="72" xfId="0" applyFont="1" applyBorder="1" applyAlignment="1">
      <alignment/>
    </xf>
    <xf numFmtId="164" fontId="12" fillId="0" borderId="73" xfId="0" applyFont="1" applyBorder="1" applyAlignment="1">
      <alignment horizontal="left"/>
    </xf>
    <xf numFmtId="164" fontId="12" fillId="0" borderId="0" xfId="0" applyFont="1" applyBorder="1" applyAlignment="1">
      <alignment horizontal="right"/>
    </xf>
    <xf numFmtId="164" fontId="12" fillId="0" borderId="74" xfId="0" applyFont="1" applyBorder="1" applyAlignment="1">
      <alignment/>
    </xf>
    <xf numFmtId="164" fontId="12" fillId="0" borderId="74" xfId="0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5" fontId="12" fillId="0" borderId="75" xfId="0" applyNumberFormat="1" applyFont="1" applyBorder="1" applyAlignment="1">
      <alignment horizontal="center" vertical="center"/>
    </xf>
    <xf numFmtId="165" fontId="12" fillId="0" borderId="72" xfId="0" applyNumberFormat="1" applyFont="1" applyBorder="1" applyAlignment="1">
      <alignment horizontal="center" vertical="center"/>
    </xf>
    <xf numFmtId="165" fontId="12" fillId="0" borderId="76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Обычный 4" xfId="21"/>
    <cellStyle name="Обычный_Справк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0E0E0"/>
      <rgbColor rgb="00808080"/>
      <rgbColor rgb="009999FF"/>
      <rgbColor rgb="009933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workbookViewId="0" topLeftCell="A1">
      <selection activeCell="D27" sqref="D27"/>
    </sheetView>
  </sheetViews>
  <sheetFormatPr defaultColWidth="8.00390625" defaultRowHeight="12.75"/>
  <cols>
    <col min="1" max="1" width="47.875" style="1" customWidth="1"/>
    <col min="2" max="2" width="6.75390625" style="1" customWidth="1"/>
    <col min="3" max="3" width="23.375" style="1" customWidth="1"/>
    <col min="4" max="4" width="19.625" style="1" customWidth="1"/>
    <col min="5" max="5" width="14.75390625" style="2" customWidth="1"/>
    <col min="6" max="6" width="10.75390625" style="3" customWidth="1"/>
    <col min="7" max="7" width="8.00390625" style="3" customWidth="1"/>
    <col min="8" max="9" width="14.75390625" style="2" customWidth="1"/>
    <col min="10" max="10" width="8.375" style="0" customWidth="1"/>
    <col min="11" max="16384" width="9.00390625" style="0" customWidth="1"/>
  </cols>
  <sheetData>
    <row r="1" spans="1:9" ht="12.75">
      <c r="A1" s="4"/>
      <c r="B1" s="5"/>
      <c r="C1" s="5"/>
      <c r="D1" s="6"/>
      <c r="E1" s="6"/>
      <c r="F1" s="6"/>
      <c r="G1" s="6"/>
      <c r="H1" s="6"/>
      <c r="I1" s="4"/>
    </row>
    <row r="2" spans="1:9" ht="15.75">
      <c r="A2" s="7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7" t="s">
        <v>1</v>
      </c>
      <c r="B3" s="7"/>
      <c r="C3" s="7"/>
      <c r="D3" s="7"/>
      <c r="E3" s="7"/>
      <c r="F3" s="7"/>
      <c r="G3" s="7"/>
      <c r="H3" s="7"/>
      <c r="I3" s="9"/>
    </row>
    <row r="4" spans="1:9" ht="15.75">
      <c r="A4" s="7" t="s">
        <v>2</v>
      </c>
      <c r="B4" s="7"/>
      <c r="C4" s="7"/>
      <c r="D4" s="7"/>
      <c r="E4" s="7"/>
      <c r="F4" s="7"/>
      <c r="G4" s="7"/>
      <c r="H4" s="7"/>
      <c r="I4" s="9"/>
    </row>
    <row r="5" spans="1:9" ht="15.75">
      <c r="A5" s="7" t="s">
        <v>3</v>
      </c>
      <c r="B5" s="7"/>
      <c r="C5" s="7"/>
      <c r="D5" s="7"/>
      <c r="E5" s="7"/>
      <c r="F5" s="7"/>
      <c r="G5" s="7"/>
      <c r="H5" s="7"/>
      <c r="I5" s="9"/>
    </row>
    <row r="6" spans="1:9" ht="13.5">
      <c r="A6" s="8"/>
      <c r="B6" s="8"/>
      <c r="C6" s="8"/>
      <c r="D6" s="8"/>
      <c r="E6" s="8"/>
      <c r="F6" s="8"/>
      <c r="G6" s="8"/>
      <c r="H6" s="8"/>
      <c r="I6" s="10" t="s">
        <v>4</v>
      </c>
    </row>
    <row r="7" spans="1:9" ht="12.75" customHeight="1">
      <c r="A7" s="11"/>
      <c r="B7" s="12"/>
      <c r="C7" s="12"/>
      <c r="D7" s="12"/>
      <c r="E7" s="12"/>
      <c r="F7" s="12"/>
      <c r="G7" s="13"/>
      <c r="H7" s="14" t="s">
        <v>5</v>
      </c>
      <c r="I7" s="15" t="s">
        <v>6</v>
      </c>
    </row>
    <row r="8" spans="1:200" ht="15" customHeight="1">
      <c r="A8" s="11"/>
      <c r="B8" s="11"/>
      <c r="C8" s="16" t="s">
        <v>7</v>
      </c>
      <c r="D8" s="17" t="s">
        <v>8</v>
      </c>
      <c r="E8" s="18" t="s">
        <v>9</v>
      </c>
      <c r="F8" s="11"/>
      <c r="G8" s="11"/>
      <c r="H8" s="14" t="s">
        <v>10</v>
      </c>
      <c r="I8" s="19">
        <v>43466</v>
      </c>
      <c r="GQ8" s="20">
        <f>A8</f>
        <v>0</v>
      </c>
      <c r="GR8" s="21">
        <f>D8</f>
        <v>0</v>
      </c>
    </row>
    <row r="9" spans="1:256" s="27" customFormat="1" ht="12.75" customHeight="1">
      <c r="A9" s="11" t="s">
        <v>11</v>
      </c>
      <c r="B9" s="22"/>
      <c r="C9" s="22"/>
      <c r="D9" s="23"/>
      <c r="E9" s="23"/>
      <c r="F9" s="23"/>
      <c r="G9" s="24"/>
      <c r="H9" s="25"/>
      <c r="I9" s="26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2.75" customHeight="1">
      <c r="A10" s="11" t="s">
        <v>12</v>
      </c>
      <c r="B10" s="22"/>
      <c r="C10" s="22"/>
      <c r="D10" s="24"/>
      <c r="E10" s="23"/>
      <c r="F10" s="23"/>
      <c r="G10" s="24"/>
      <c r="H10" s="14"/>
      <c r="I10" s="28"/>
    </row>
    <row r="11" spans="1:9" ht="12.75" customHeight="1">
      <c r="A11" s="24" t="s">
        <v>13</v>
      </c>
      <c r="B11" s="22"/>
      <c r="C11" s="22"/>
      <c r="D11" s="23"/>
      <c r="E11" s="23"/>
      <c r="F11" s="23"/>
      <c r="G11" s="24"/>
      <c r="H11" s="14" t="s">
        <v>14</v>
      </c>
      <c r="I11" s="29" t="s">
        <v>15</v>
      </c>
    </row>
    <row r="12" spans="1:9" ht="15">
      <c r="A12" s="30" t="s">
        <v>16</v>
      </c>
      <c r="B12" s="22"/>
      <c r="C12" s="31" t="s">
        <v>17</v>
      </c>
      <c r="D12" s="32"/>
      <c r="E12" s="24"/>
      <c r="F12" s="24"/>
      <c r="G12" s="24"/>
      <c r="H12" s="33" t="s">
        <v>18</v>
      </c>
      <c r="I12" s="29" t="s">
        <v>19</v>
      </c>
    </row>
    <row r="13" spans="1:201" ht="12.75">
      <c r="A13" s="30"/>
      <c r="B13" s="21"/>
      <c r="C13" s="21"/>
      <c r="D13" s="21"/>
      <c r="E13" s="21"/>
      <c r="F13" s="21"/>
      <c r="G13" s="21"/>
      <c r="H13" s="14" t="s">
        <v>20</v>
      </c>
      <c r="I13" s="29" t="s">
        <v>21</v>
      </c>
      <c r="GS13" s="34">
        <f>D13</f>
        <v>0</v>
      </c>
    </row>
    <row r="14" spans="1:256" s="27" customFormat="1" ht="12.75" customHeight="1">
      <c r="A14" s="35" t="s">
        <v>22</v>
      </c>
      <c r="B14" s="36" t="s">
        <v>23</v>
      </c>
      <c r="C14" s="36"/>
      <c r="D14" s="36"/>
      <c r="E14" s="23"/>
      <c r="F14" s="23"/>
      <c r="G14" s="23"/>
      <c r="H14" s="25" t="s">
        <v>24</v>
      </c>
      <c r="I14" s="37" t="s">
        <v>25</v>
      </c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9" ht="12.75">
      <c r="A15" s="30" t="s">
        <v>26</v>
      </c>
      <c r="B15" s="13"/>
      <c r="C15" s="11"/>
      <c r="D15" s="11"/>
      <c r="E15" s="38"/>
      <c r="F15" s="38"/>
      <c r="G15" s="38"/>
      <c r="H15" s="33"/>
      <c r="I15" s="29"/>
    </row>
    <row r="16" spans="1:9" ht="13.5">
      <c r="A16" s="30" t="s">
        <v>27</v>
      </c>
      <c r="B16" s="13"/>
      <c r="C16" s="38"/>
      <c r="D16" s="38"/>
      <c r="E16" s="38"/>
      <c r="F16" s="38"/>
      <c r="G16" s="39"/>
      <c r="H16" s="33" t="s">
        <v>28</v>
      </c>
      <c r="I16" s="40" t="s">
        <v>29</v>
      </c>
    </row>
    <row r="17" spans="1:9" ht="15">
      <c r="A17" s="41" t="s">
        <v>30</v>
      </c>
      <c r="B17" s="41"/>
      <c r="C17" s="41"/>
      <c r="D17" s="41"/>
      <c r="E17" s="41"/>
      <c r="F17" s="41"/>
      <c r="G17" s="41"/>
      <c r="H17" s="41"/>
      <c r="I17" s="42"/>
    </row>
    <row r="18" spans="1:16" ht="7.5" customHeight="1">
      <c r="A18" s="43"/>
      <c r="B18" s="43"/>
      <c r="C18" s="43"/>
      <c r="D18" s="44"/>
      <c r="E18" s="45"/>
      <c r="F18" s="46"/>
      <c r="G18" s="46"/>
      <c r="H18" s="45"/>
      <c r="I18" s="45"/>
      <c r="J18" s="47"/>
      <c r="K18" s="48"/>
      <c r="L18" s="48"/>
      <c r="M18" s="48"/>
      <c r="N18" s="48"/>
      <c r="O18" s="48"/>
      <c r="P18" s="48"/>
    </row>
    <row r="19" spans="1:16" ht="13.5" customHeight="1">
      <c r="A19" s="49"/>
      <c r="B19" s="50" t="s">
        <v>31</v>
      </c>
      <c r="C19" s="51" t="s">
        <v>32</v>
      </c>
      <c r="D19" s="52" t="s">
        <v>33</v>
      </c>
      <c r="E19" s="53"/>
      <c r="F19" s="54" t="s">
        <v>34</v>
      </c>
      <c r="G19" s="55"/>
      <c r="H19" s="56"/>
      <c r="I19" s="57" t="s">
        <v>35</v>
      </c>
      <c r="J19" s="48"/>
      <c r="K19" s="48"/>
      <c r="L19" s="48"/>
      <c r="M19" s="48"/>
      <c r="N19" s="48"/>
      <c r="O19" s="48"/>
      <c r="P19" s="48"/>
    </row>
    <row r="20" spans="1:16" ht="9.75" customHeight="1">
      <c r="A20" s="58" t="s">
        <v>36</v>
      </c>
      <c r="B20" s="59" t="s">
        <v>37</v>
      </c>
      <c r="C20" s="58" t="s">
        <v>38</v>
      </c>
      <c r="D20" s="60" t="s">
        <v>39</v>
      </c>
      <c r="E20" s="52" t="s">
        <v>40</v>
      </c>
      <c r="F20" s="61" t="s">
        <v>41</v>
      </c>
      <c r="G20" s="62" t="s">
        <v>42</v>
      </c>
      <c r="H20" s="63" t="s">
        <v>43</v>
      </c>
      <c r="I20" s="64" t="s">
        <v>44</v>
      </c>
      <c r="J20" s="48"/>
      <c r="K20" s="48"/>
      <c r="L20" s="48"/>
      <c r="M20" s="48"/>
      <c r="N20" s="48"/>
      <c r="O20" s="48"/>
      <c r="P20" s="48"/>
    </row>
    <row r="21" spans="1:16" ht="9.75" customHeight="1">
      <c r="A21" s="65"/>
      <c r="B21" s="58"/>
      <c r="C21" s="58" t="s">
        <v>45</v>
      </c>
      <c r="D21" s="60" t="s">
        <v>44</v>
      </c>
      <c r="E21" s="60" t="s">
        <v>46</v>
      </c>
      <c r="F21" s="66" t="s">
        <v>47</v>
      </c>
      <c r="G21" s="64" t="s">
        <v>48</v>
      </c>
      <c r="H21" s="63"/>
      <c r="I21" s="64"/>
      <c r="J21" s="48"/>
      <c r="K21" s="48"/>
      <c r="L21" s="48"/>
      <c r="M21" s="48"/>
      <c r="N21" s="48"/>
      <c r="O21" s="48"/>
      <c r="P21" s="48"/>
    </row>
    <row r="22" spans="1:16" ht="9.75" customHeight="1">
      <c r="A22" s="65"/>
      <c r="B22" s="58"/>
      <c r="C22" s="58"/>
      <c r="D22" s="60"/>
      <c r="E22" s="60" t="s">
        <v>49</v>
      </c>
      <c r="F22" s="66" t="s">
        <v>50</v>
      </c>
      <c r="G22" s="64" t="s">
        <v>51</v>
      </c>
      <c r="H22" s="63"/>
      <c r="I22" s="64"/>
      <c r="J22" s="48"/>
      <c r="K22" s="48"/>
      <c r="L22" s="48"/>
      <c r="M22" s="48"/>
      <c r="N22" s="48"/>
      <c r="O22" s="48"/>
      <c r="P22" s="48"/>
    </row>
    <row r="23" spans="1:16" ht="9.75" customHeight="1">
      <c r="A23" s="67">
        <v>1</v>
      </c>
      <c r="B23" s="67">
        <v>2</v>
      </c>
      <c r="C23" s="67">
        <v>3</v>
      </c>
      <c r="D23" s="68" t="s">
        <v>52</v>
      </c>
      <c r="E23" s="68" t="s">
        <v>53</v>
      </c>
      <c r="F23" s="69" t="s">
        <v>54</v>
      </c>
      <c r="G23" s="69" t="s">
        <v>55</v>
      </c>
      <c r="H23" s="68" t="s">
        <v>56</v>
      </c>
      <c r="I23" s="68" t="s">
        <v>57</v>
      </c>
      <c r="J23" s="48"/>
      <c r="K23" s="48"/>
      <c r="L23" s="48"/>
      <c r="M23" s="48"/>
      <c r="N23" s="48"/>
      <c r="O23" s="48"/>
      <c r="P23" s="48"/>
    </row>
    <row r="24" spans="1:9" s="78" customFormat="1" ht="12.75" customHeight="1">
      <c r="A24" s="70" t="s">
        <v>58</v>
      </c>
      <c r="B24" s="71" t="s">
        <v>59</v>
      </c>
      <c r="C24" s="72" t="s">
        <v>60</v>
      </c>
      <c r="D24" s="73">
        <f>D26+D78</f>
        <v>10036336</v>
      </c>
      <c r="E24" s="73">
        <f>E26+E78</f>
        <v>7712697.51</v>
      </c>
      <c r="F24" s="74"/>
      <c r="G24" s="75"/>
      <c r="H24" s="76">
        <f>E24</f>
        <v>7712697.51</v>
      </c>
      <c r="I24" s="77" t="s">
        <v>60</v>
      </c>
    </row>
    <row r="25" spans="1:16" ht="9.75" customHeight="1">
      <c r="A25" s="79" t="s">
        <v>61</v>
      </c>
      <c r="B25" s="80"/>
      <c r="C25" s="81"/>
      <c r="D25" s="82"/>
      <c r="E25" s="82"/>
      <c r="F25" s="83"/>
      <c r="G25" s="84"/>
      <c r="H25" s="85"/>
      <c r="I25" s="86"/>
      <c r="J25" s="48"/>
      <c r="K25" s="48"/>
      <c r="L25" s="48"/>
      <c r="M25" s="48"/>
      <c r="N25" s="48"/>
      <c r="O25" s="48"/>
      <c r="P25" s="48"/>
    </row>
    <row r="26" spans="1:16" ht="15.75" customHeight="1">
      <c r="A26" s="87" t="s">
        <v>62</v>
      </c>
      <c r="B26" s="88"/>
      <c r="C26" s="89" t="s">
        <v>63</v>
      </c>
      <c r="D26" s="90">
        <f>D27+D38+D40+D52+D53+D62+D65+D69+D72</f>
        <v>7772536</v>
      </c>
      <c r="E26" s="90">
        <f>E27+E38+E40+E52+E53+E62+E65+E69+E72</f>
        <v>5448897.51</v>
      </c>
      <c r="F26" s="91"/>
      <c r="G26" s="92"/>
      <c r="H26" s="93">
        <f aca="true" t="shared" si="0" ref="H26:H42">E26</f>
        <v>5448897.51</v>
      </c>
      <c r="I26" s="94">
        <f>I27+I38+I40+I52+I53+I62+I65+I69+I72</f>
        <v>2384313.400000001</v>
      </c>
      <c r="J26" s="48"/>
      <c r="K26" s="48"/>
      <c r="L26" s="48"/>
      <c r="M26" s="48"/>
      <c r="N26" s="48"/>
      <c r="O26" s="48"/>
      <c r="P26" s="48"/>
    </row>
    <row r="27" spans="1:16" ht="15.75" customHeight="1">
      <c r="A27" s="95" t="s">
        <v>64</v>
      </c>
      <c r="B27" s="96"/>
      <c r="C27" s="97" t="s">
        <v>65</v>
      </c>
      <c r="D27" s="98">
        <f>D28</f>
        <v>1905000</v>
      </c>
      <c r="E27" s="98">
        <f>E28</f>
        <v>2296921.2499999995</v>
      </c>
      <c r="F27" s="99"/>
      <c r="G27" s="100"/>
      <c r="H27" s="101">
        <f t="shared" si="0"/>
        <v>2296921.2499999995</v>
      </c>
      <c r="I27" s="102">
        <f>I28</f>
        <v>-385275.38999999955</v>
      </c>
      <c r="J27" s="48"/>
      <c r="K27" s="48"/>
      <c r="L27" s="48"/>
      <c r="M27" s="48"/>
      <c r="N27" s="48"/>
      <c r="O27" s="48"/>
      <c r="P27" s="48"/>
    </row>
    <row r="28" spans="1:16" ht="15.75" customHeight="1">
      <c r="A28" s="103" t="s">
        <v>66</v>
      </c>
      <c r="B28" s="104"/>
      <c r="C28" s="105" t="s">
        <v>67</v>
      </c>
      <c r="D28" s="106">
        <f>D29+D33+D34+D35+D36+D37</f>
        <v>1905000</v>
      </c>
      <c r="E28" s="106">
        <f>E29+E33+E34+E35+E36+E37</f>
        <v>2296921.2499999995</v>
      </c>
      <c r="F28" s="99"/>
      <c r="G28" s="100"/>
      <c r="H28" s="107">
        <f t="shared" si="0"/>
        <v>2296921.2499999995</v>
      </c>
      <c r="I28" s="108">
        <f>I29+I33+I34+I35+I36+I37</f>
        <v>-385275.38999999955</v>
      </c>
      <c r="J28" s="48"/>
      <c r="K28" s="48"/>
      <c r="L28" s="48"/>
      <c r="M28" s="48"/>
      <c r="N28" s="48"/>
      <c r="O28" s="48"/>
      <c r="P28" s="48"/>
    </row>
    <row r="29" spans="1:16" ht="57" customHeight="1">
      <c r="A29" s="109" t="s">
        <v>68</v>
      </c>
      <c r="B29" s="110"/>
      <c r="C29" s="111" t="s">
        <v>69</v>
      </c>
      <c r="D29" s="112">
        <f>D30+D31+D32</f>
        <v>185000</v>
      </c>
      <c r="E29" s="112">
        <f>E30+E31+E32</f>
        <v>260102.09999999998</v>
      </c>
      <c r="F29" s="99"/>
      <c r="G29" s="100"/>
      <c r="H29" s="113">
        <f t="shared" si="0"/>
        <v>260102.09999999998</v>
      </c>
      <c r="I29" s="114">
        <f>I30+I31+I32</f>
        <v>-69299.73999999999</v>
      </c>
      <c r="J29" s="48"/>
      <c r="K29" s="48"/>
      <c r="L29" s="48"/>
      <c r="M29" s="48"/>
      <c r="N29" s="48"/>
      <c r="O29" s="48"/>
      <c r="P29" s="48"/>
    </row>
    <row r="30" spans="1:16" ht="57" customHeight="1">
      <c r="A30" s="115" t="s">
        <v>70</v>
      </c>
      <c r="B30" s="116"/>
      <c r="C30" s="117" t="s">
        <v>71</v>
      </c>
      <c r="D30" s="118">
        <v>185000</v>
      </c>
      <c r="E30" s="118">
        <f>4783.95+13052.1+28114.4+8970.51+31512.11+18413.98+21858.28+25026.92+27278.35+12288.6+28944.24+34056.3</f>
        <v>254299.74</v>
      </c>
      <c r="F30" s="99"/>
      <c r="G30" s="100"/>
      <c r="H30" s="119">
        <f t="shared" si="0"/>
        <v>254299.74</v>
      </c>
      <c r="I30" s="120">
        <f>D30-H30</f>
        <v>-69299.73999999999</v>
      </c>
      <c r="J30" s="48"/>
      <c r="K30" s="48"/>
      <c r="L30" s="48"/>
      <c r="M30" s="48"/>
      <c r="N30" s="48"/>
      <c r="O30" s="48"/>
      <c r="P30" s="48"/>
    </row>
    <row r="31" spans="1:16" ht="45" customHeight="1">
      <c r="A31" s="115" t="s">
        <v>72</v>
      </c>
      <c r="B31" s="116"/>
      <c r="C31" s="117" t="s">
        <v>73</v>
      </c>
      <c r="D31" s="118">
        <v>0</v>
      </c>
      <c r="E31" s="118">
        <f>64.37+21.95+0+0+220.49+330.86+296.23+520.71+577.19+5.34+229.41+126.26</f>
        <v>2392.8100000000004</v>
      </c>
      <c r="F31" s="99"/>
      <c r="G31" s="100"/>
      <c r="H31" s="119">
        <f t="shared" si="0"/>
        <v>2392.8100000000004</v>
      </c>
      <c r="I31" s="99"/>
      <c r="J31" s="48"/>
      <c r="K31" s="48"/>
      <c r="L31" s="48"/>
      <c r="M31" s="48"/>
      <c r="N31" s="48"/>
      <c r="O31" s="48"/>
      <c r="P31" s="48"/>
    </row>
    <row r="32" spans="1:16" ht="57" customHeight="1">
      <c r="A32" s="121" t="s">
        <v>74</v>
      </c>
      <c r="B32" s="116"/>
      <c r="C32" s="122" t="s">
        <v>75</v>
      </c>
      <c r="D32" s="118">
        <v>0</v>
      </c>
      <c r="E32" s="118">
        <f>0+0+0+0+0+0+0+3325.31+84.24</f>
        <v>3409.5499999999997</v>
      </c>
      <c r="F32" s="99"/>
      <c r="G32" s="100"/>
      <c r="H32" s="119">
        <f t="shared" si="0"/>
        <v>3409.5499999999997</v>
      </c>
      <c r="I32" s="99"/>
      <c r="J32" s="48"/>
      <c r="K32" s="48"/>
      <c r="L32" s="48"/>
      <c r="M32" s="48"/>
      <c r="N32" s="48"/>
      <c r="O32" s="48"/>
      <c r="P32" s="48"/>
    </row>
    <row r="33" spans="1:16" ht="57" customHeight="1">
      <c r="A33" s="123" t="s">
        <v>76</v>
      </c>
      <c r="B33" s="110"/>
      <c r="C33" s="111" t="s">
        <v>77</v>
      </c>
      <c r="D33" s="112">
        <v>3000</v>
      </c>
      <c r="E33" s="112">
        <v>102.75</v>
      </c>
      <c r="F33" s="99"/>
      <c r="G33" s="100"/>
      <c r="H33" s="113">
        <f t="shared" si="0"/>
        <v>102.75</v>
      </c>
      <c r="I33" s="124">
        <f aca="true" t="shared" si="1" ref="I33:I34">D33-H33</f>
        <v>2897.25</v>
      </c>
      <c r="J33" s="48"/>
      <c r="K33" s="48"/>
      <c r="L33" s="48"/>
      <c r="M33" s="48"/>
      <c r="N33" s="48"/>
      <c r="O33" s="48"/>
      <c r="P33" s="48"/>
    </row>
    <row r="34" spans="1:16" ht="34.5" customHeight="1">
      <c r="A34" s="109" t="s">
        <v>78</v>
      </c>
      <c r="B34" s="110"/>
      <c r="C34" s="111" t="s">
        <v>79</v>
      </c>
      <c r="D34" s="112">
        <v>9000</v>
      </c>
      <c r="E34" s="112">
        <f>6616.8+93138.15+13750.35+82238.4+1552.2</f>
        <v>197295.90000000002</v>
      </c>
      <c r="F34" s="99"/>
      <c r="G34" s="100"/>
      <c r="H34" s="113">
        <f t="shared" si="0"/>
        <v>197295.90000000002</v>
      </c>
      <c r="I34" s="124">
        <f t="shared" si="1"/>
        <v>-188295.90000000002</v>
      </c>
      <c r="J34" s="48"/>
      <c r="K34" s="48"/>
      <c r="L34" s="48"/>
      <c r="M34" s="48"/>
      <c r="N34" s="48"/>
      <c r="O34" s="48"/>
      <c r="P34" s="48"/>
    </row>
    <row r="35" spans="1:16" ht="48.75" customHeight="1">
      <c r="A35" s="109" t="s">
        <v>80</v>
      </c>
      <c r="B35" s="110"/>
      <c r="C35" s="111" t="s">
        <v>81</v>
      </c>
      <c r="D35" s="112">
        <v>0</v>
      </c>
      <c r="E35" s="112">
        <f>0+0+0+0+0+0+0+1.5+244.43+147.57</f>
        <v>393.5</v>
      </c>
      <c r="F35" s="99"/>
      <c r="G35" s="100"/>
      <c r="H35" s="113">
        <f t="shared" si="0"/>
        <v>393.5</v>
      </c>
      <c r="I35" s="124"/>
      <c r="J35" s="48"/>
      <c r="K35" s="48"/>
      <c r="L35" s="48"/>
      <c r="M35" s="48"/>
      <c r="N35" s="48"/>
      <c r="O35" s="48"/>
      <c r="P35" s="48"/>
    </row>
    <row r="36" spans="1:16" ht="48.75" customHeight="1">
      <c r="A36" s="109" t="s">
        <v>82</v>
      </c>
      <c r="B36" s="110"/>
      <c r="C36" s="111" t="s">
        <v>83</v>
      </c>
      <c r="D36" s="112">
        <v>0</v>
      </c>
      <c r="E36" s="112">
        <f>150+150+150</f>
        <v>450</v>
      </c>
      <c r="F36" s="99"/>
      <c r="G36" s="100"/>
      <c r="H36" s="113">
        <f t="shared" si="0"/>
        <v>450</v>
      </c>
      <c r="I36" s="124"/>
      <c r="J36" s="48"/>
      <c r="K36" s="48"/>
      <c r="L36" s="48"/>
      <c r="M36" s="48"/>
      <c r="N36" s="48"/>
      <c r="O36" s="48"/>
      <c r="P36" s="48"/>
    </row>
    <row r="37" spans="1:16" ht="69.75" customHeight="1">
      <c r="A37" s="109" t="s">
        <v>84</v>
      </c>
      <c r="B37" s="110"/>
      <c r="C37" s="111" t="s">
        <v>85</v>
      </c>
      <c r="D37" s="112">
        <v>1708000</v>
      </c>
      <c r="E37" s="112">
        <f>23370+28978.8+191634+347745.6+593598+78523.2+77588.4+503694+69175.2+33185.4-138864+29948.4</f>
        <v>1838576.9999999995</v>
      </c>
      <c r="F37" s="99"/>
      <c r="G37" s="100"/>
      <c r="H37" s="113">
        <f t="shared" si="0"/>
        <v>1838576.9999999995</v>
      </c>
      <c r="I37" s="124">
        <f>D37-H37</f>
        <v>-130576.99999999953</v>
      </c>
      <c r="J37" s="48"/>
      <c r="K37" s="48"/>
      <c r="L37" s="48"/>
      <c r="M37" s="48"/>
      <c r="N37" s="48"/>
      <c r="O37" s="48"/>
      <c r="P37" s="48"/>
    </row>
    <row r="38" spans="1:16" ht="15.75" customHeight="1">
      <c r="A38" s="95" t="s">
        <v>86</v>
      </c>
      <c r="B38" s="96"/>
      <c r="C38" s="97" t="s">
        <v>87</v>
      </c>
      <c r="D38" s="98">
        <f>D39</f>
        <v>0</v>
      </c>
      <c r="E38" s="98">
        <f>E39</f>
        <v>0</v>
      </c>
      <c r="F38" s="99"/>
      <c r="G38" s="100"/>
      <c r="H38" s="101">
        <f t="shared" si="0"/>
        <v>0</v>
      </c>
      <c r="I38" s="125">
        <f>I39</f>
        <v>0</v>
      </c>
      <c r="J38" s="48"/>
      <c r="K38" s="48"/>
      <c r="L38" s="48"/>
      <c r="M38" s="48"/>
      <c r="N38" s="48"/>
      <c r="O38" s="48"/>
      <c r="P38" s="48"/>
    </row>
    <row r="39" spans="1:16" ht="15.75" customHeight="1">
      <c r="A39" s="126" t="s">
        <v>88</v>
      </c>
      <c r="B39" s="116"/>
      <c r="C39" s="127" t="s">
        <v>89</v>
      </c>
      <c r="D39" s="118">
        <v>0</v>
      </c>
      <c r="E39" s="118">
        <v>0</v>
      </c>
      <c r="F39" s="99"/>
      <c r="G39" s="100"/>
      <c r="H39" s="119">
        <f t="shared" si="0"/>
        <v>0</v>
      </c>
      <c r="I39" s="99"/>
      <c r="J39" s="48"/>
      <c r="K39" s="48"/>
      <c r="L39" s="48"/>
      <c r="M39" s="48"/>
      <c r="N39" s="48"/>
      <c r="O39" s="48"/>
      <c r="P39" s="48"/>
    </row>
    <row r="40" spans="1:16" ht="15">
      <c r="A40" s="95" t="s">
        <v>90</v>
      </c>
      <c r="B40" s="96"/>
      <c r="C40" s="97" t="s">
        <v>91</v>
      </c>
      <c r="D40" s="98">
        <f>D41+D44</f>
        <v>5865436</v>
      </c>
      <c r="E40" s="98">
        <f>E41+E44</f>
        <v>3151049.17</v>
      </c>
      <c r="F40" s="99"/>
      <c r="G40" s="100"/>
      <c r="H40" s="101">
        <f t="shared" si="0"/>
        <v>3151049.17</v>
      </c>
      <c r="I40" s="125">
        <f>I41+I44</f>
        <v>2767488.7900000005</v>
      </c>
      <c r="J40" s="48"/>
      <c r="K40" s="48"/>
      <c r="L40" s="48"/>
      <c r="M40" s="48"/>
      <c r="N40" s="48"/>
      <c r="O40" s="48"/>
      <c r="P40" s="48"/>
    </row>
    <row r="41" spans="1:16" ht="15.75" customHeight="1">
      <c r="A41" s="103" t="s">
        <v>92</v>
      </c>
      <c r="B41" s="104"/>
      <c r="C41" s="105" t="s">
        <v>93</v>
      </c>
      <c r="D41" s="106">
        <f>D42+D43</f>
        <v>586436</v>
      </c>
      <c r="E41" s="106">
        <f>E42+E43</f>
        <v>541526.07</v>
      </c>
      <c r="F41" s="99"/>
      <c r="G41" s="100"/>
      <c r="H41" s="107">
        <f t="shared" si="0"/>
        <v>541526.07</v>
      </c>
      <c r="I41" s="108">
        <f>I42</f>
        <v>50289.810000000056</v>
      </c>
      <c r="J41" s="48"/>
      <c r="K41" s="48"/>
      <c r="L41" s="48"/>
      <c r="M41" s="48"/>
      <c r="N41" s="48"/>
      <c r="O41" s="48"/>
      <c r="P41" s="48"/>
    </row>
    <row r="42" spans="1:16" ht="35.25" customHeight="1">
      <c r="A42" s="126" t="s">
        <v>94</v>
      </c>
      <c r="B42" s="116"/>
      <c r="C42" s="127" t="s">
        <v>95</v>
      </c>
      <c r="D42" s="118">
        <v>586436</v>
      </c>
      <c r="E42" s="118">
        <f>1409.06-8484.63+1855+1203+4017+810+32993.38+102307.43+38352+13351+203015.3+145317.65</f>
        <v>536146.19</v>
      </c>
      <c r="F42" s="99"/>
      <c r="G42" s="100"/>
      <c r="H42" s="119">
        <f t="shared" si="0"/>
        <v>536146.19</v>
      </c>
      <c r="I42" s="120">
        <f>D42-H42</f>
        <v>50289.810000000056</v>
      </c>
      <c r="J42" s="48"/>
      <c r="K42" s="48"/>
      <c r="L42" s="48"/>
      <c r="M42" s="48"/>
      <c r="N42" s="48"/>
      <c r="O42" s="48"/>
      <c r="P42" s="48"/>
    </row>
    <row r="43" spans="1:16" ht="35.25" customHeight="1">
      <c r="A43" s="126" t="s">
        <v>96</v>
      </c>
      <c r="B43" s="116"/>
      <c r="C43" s="128" t="s">
        <v>97</v>
      </c>
      <c r="D43" s="118">
        <v>0</v>
      </c>
      <c r="E43" s="118">
        <f>8.67+693.26+41.68+474.14+70.47+144.67+2686.51+714.86+7.7+18.55+117.93+401.44</f>
        <v>5379.88</v>
      </c>
      <c r="F43" s="99"/>
      <c r="G43" s="100"/>
      <c r="H43" s="119"/>
      <c r="I43" s="99"/>
      <c r="J43" s="48"/>
      <c r="K43" s="48"/>
      <c r="L43" s="48"/>
      <c r="M43" s="48"/>
      <c r="N43" s="48"/>
      <c r="O43" s="48"/>
      <c r="P43" s="48"/>
    </row>
    <row r="44" spans="1:16" ht="13.5" customHeight="1">
      <c r="A44" s="103" t="s">
        <v>98</v>
      </c>
      <c r="B44" s="104"/>
      <c r="C44" s="105" t="s">
        <v>99</v>
      </c>
      <c r="D44" s="106">
        <f>D45+D49</f>
        <v>5279000</v>
      </c>
      <c r="E44" s="106">
        <f>E45+E49</f>
        <v>2609523.1</v>
      </c>
      <c r="F44" s="99"/>
      <c r="G44" s="100"/>
      <c r="H44" s="107">
        <f aca="true" t="shared" si="2" ref="H44:H47">E44</f>
        <v>2609523.1</v>
      </c>
      <c r="I44" s="108">
        <f>I45+I49</f>
        <v>2717198.9800000004</v>
      </c>
      <c r="J44" s="48"/>
      <c r="K44" s="48"/>
      <c r="L44" s="48"/>
      <c r="M44" s="48"/>
      <c r="N44" s="48"/>
      <c r="O44" s="48"/>
      <c r="P44" s="48"/>
    </row>
    <row r="45" spans="1:16" ht="13.5" customHeight="1">
      <c r="A45" s="109" t="s">
        <v>100</v>
      </c>
      <c r="B45" s="110"/>
      <c r="C45" s="111" t="s">
        <v>101</v>
      </c>
      <c r="D45" s="112">
        <f>D46+D47</f>
        <v>4829000</v>
      </c>
      <c r="E45" s="112">
        <f>E46+E47+E48</f>
        <v>866774.94</v>
      </c>
      <c r="F45" s="99"/>
      <c r="G45" s="100"/>
      <c r="H45" s="113">
        <f t="shared" si="2"/>
        <v>866774.94</v>
      </c>
      <c r="I45" s="124">
        <f>I46</f>
        <v>3988399.3200000003</v>
      </c>
      <c r="J45" s="48"/>
      <c r="K45" s="48"/>
      <c r="L45" s="48"/>
      <c r="M45" s="48"/>
      <c r="N45" s="48"/>
      <c r="O45" s="48"/>
      <c r="P45" s="48"/>
    </row>
    <row r="46" spans="1:16" ht="22.5">
      <c r="A46" s="129" t="s">
        <v>102</v>
      </c>
      <c r="B46" s="130"/>
      <c r="C46" s="122" t="s">
        <v>103</v>
      </c>
      <c r="D46" s="131">
        <v>4829000</v>
      </c>
      <c r="E46" s="118">
        <f>23712+5+16963+415710+32687.68+1634+273654+975+51169+5075+19016</f>
        <v>840600.6799999999</v>
      </c>
      <c r="F46" s="99"/>
      <c r="G46" s="100"/>
      <c r="H46" s="132">
        <f t="shared" si="2"/>
        <v>840600.6799999999</v>
      </c>
      <c r="I46" s="120">
        <f>D46-H46</f>
        <v>3988399.3200000003</v>
      </c>
      <c r="J46" s="48"/>
      <c r="K46" s="48"/>
      <c r="L46" s="48"/>
      <c r="M46" s="48"/>
      <c r="N46" s="48"/>
      <c r="O46" s="48"/>
      <c r="P46" s="48"/>
    </row>
    <row r="47" spans="1:16" ht="35.25" customHeight="1">
      <c r="A47" s="129" t="s">
        <v>104</v>
      </c>
      <c r="B47" s="130"/>
      <c r="C47" s="117" t="s">
        <v>105</v>
      </c>
      <c r="D47" s="131">
        <v>0</v>
      </c>
      <c r="E47" s="131">
        <f>0.1+550+34.98+21589.18+50-50</f>
        <v>22174.260000000002</v>
      </c>
      <c r="F47" s="99"/>
      <c r="G47" s="100"/>
      <c r="H47" s="132">
        <f t="shared" si="2"/>
        <v>22174.260000000002</v>
      </c>
      <c r="I47" s="133"/>
      <c r="J47" s="48"/>
      <c r="K47" s="48"/>
      <c r="L47" s="48"/>
      <c r="M47" s="48"/>
      <c r="N47" s="48"/>
      <c r="O47" s="48"/>
      <c r="P47" s="48"/>
    </row>
    <row r="48" spans="1:16" ht="35.25" customHeight="1">
      <c r="A48" s="129" t="s">
        <v>106</v>
      </c>
      <c r="B48" s="130"/>
      <c r="C48" s="117" t="s">
        <v>107</v>
      </c>
      <c r="D48" s="131">
        <v>0</v>
      </c>
      <c r="E48" s="131">
        <v>4000</v>
      </c>
      <c r="F48" s="99"/>
      <c r="G48" s="100"/>
      <c r="H48" s="132"/>
      <c r="I48" s="133"/>
      <c r="J48" s="48"/>
      <c r="K48" s="48"/>
      <c r="L48" s="48"/>
      <c r="M48" s="48"/>
      <c r="N48" s="48"/>
      <c r="O48" s="48"/>
      <c r="P48" s="48"/>
    </row>
    <row r="49" spans="1:16" ht="13.5" customHeight="1">
      <c r="A49" s="109" t="s">
        <v>108</v>
      </c>
      <c r="B49" s="110"/>
      <c r="C49" s="111" t="s">
        <v>109</v>
      </c>
      <c r="D49" s="112">
        <f>D50+D51</f>
        <v>450000</v>
      </c>
      <c r="E49" s="112">
        <f>E50+E51</f>
        <v>1742748.1600000001</v>
      </c>
      <c r="F49" s="99"/>
      <c r="G49" s="100"/>
      <c r="H49" s="113">
        <f aca="true" t="shared" si="3" ref="H49:H82">E49</f>
        <v>1742748.1600000001</v>
      </c>
      <c r="I49" s="124">
        <f>I50+I51</f>
        <v>-1271200.34</v>
      </c>
      <c r="J49" s="134"/>
      <c r="K49" s="48"/>
      <c r="L49" s="48"/>
      <c r="M49" s="48"/>
      <c r="N49" s="48"/>
      <c r="O49" s="48"/>
      <c r="P49" s="48"/>
    </row>
    <row r="50" spans="1:16" ht="26.25" customHeight="1">
      <c r="A50" s="129" t="s">
        <v>110</v>
      </c>
      <c r="B50" s="130"/>
      <c r="C50" s="122" t="s">
        <v>111</v>
      </c>
      <c r="D50" s="131">
        <v>450000</v>
      </c>
      <c r="E50" s="118">
        <f>57212.71+26724.34+25112.35+30089.1+17828.33+1483.75+21520.14+274503.05+102953.17+128658.79+584738.66+450375.95</f>
        <v>1721200.34</v>
      </c>
      <c r="F50" s="99"/>
      <c r="G50" s="100"/>
      <c r="H50" s="132">
        <f t="shared" si="3"/>
        <v>1721200.34</v>
      </c>
      <c r="I50" s="120">
        <f>D50-H50</f>
        <v>-1271200.34</v>
      </c>
      <c r="J50" s="48"/>
      <c r="K50" s="48"/>
      <c r="L50" s="48"/>
      <c r="M50" s="48"/>
      <c r="N50" s="48"/>
      <c r="O50" s="48"/>
      <c r="P50" s="48"/>
    </row>
    <row r="51" spans="1:16" ht="35.25" customHeight="1">
      <c r="A51" s="129" t="s">
        <v>112</v>
      </c>
      <c r="B51" s="130"/>
      <c r="C51" s="117" t="s">
        <v>113</v>
      </c>
      <c r="D51" s="131">
        <v>0</v>
      </c>
      <c r="E51" s="118">
        <f>933.86+977.5+1370.27+2347.27+2019.81+1101.09+951.38+3789.4+598.03+331.45+1347.67+5780.09</f>
        <v>21547.82</v>
      </c>
      <c r="F51" s="99"/>
      <c r="G51" s="100"/>
      <c r="H51" s="132">
        <f t="shared" si="3"/>
        <v>21547.82</v>
      </c>
      <c r="I51" s="133"/>
      <c r="J51" s="48"/>
      <c r="K51" s="48"/>
      <c r="L51" s="48"/>
      <c r="M51" s="48"/>
      <c r="N51" s="48"/>
      <c r="O51" s="48"/>
      <c r="P51" s="48"/>
    </row>
    <row r="52" spans="1:16" ht="33.75" customHeight="1" hidden="1">
      <c r="A52" s="95" t="s">
        <v>114</v>
      </c>
      <c r="B52" s="96"/>
      <c r="C52" s="97" t="s">
        <v>115</v>
      </c>
      <c r="D52" s="135">
        <v>0</v>
      </c>
      <c r="E52" s="135">
        <v>0</v>
      </c>
      <c r="F52" s="136"/>
      <c r="G52" s="137"/>
      <c r="H52" s="138">
        <f t="shared" si="3"/>
        <v>0</v>
      </c>
      <c r="I52" s="139"/>
      <c r="J52" s="48"/>
      <c r="K52" s="48"/>
      <c r="L52" s="48"/>
      <c r="M52" s="48"/>
      <c r="N52" s="48"/>
      <c r="O52" s="48"/>
      <c r="P52" s="48"/>
    </row>
    <row r="53" spans="1:16" ht="25.5" customHeight="1" hidden="1">
      <c r="A53" s="95" t="s">
        <v>116</v>
      </c>
      <c r="B53" s="96"/>
      <c r="C53" s="97" t="s">
        <v>117</v>
      </c>
      <c r="D53" s="135">
        <f>D54+D56+D58+D60+D61</f>
        <v>0</v>
      </c>
      <c r="E53" s="135">
        <f>E54+E56+E58+E60+E61</f>
        <v>0</v>
      </c>
      <c r="F53" s="136"/>
      <c r="G53" s="137"/>
      <c r="H53" s="138">
        <f t="shared" si="3"/>
        <v>0</v>
      </c>
      <c r="I53" s="139"/>
      <c r="J53" s="48"/>
      <c r="K53" s="48"/>
      <c r="L53" s="48"/>
      <c r="M53" s="48"/>
      <c r="N53" s="48"/>
      <c r="O53" s="48"/>
      <c r="P53" s="48"/>
    </row>
    <row r="54" spans="1:16" ht="24.75" customHeight="1" hidden="1">
      <c r="A54" s="109" t="s">
        <v>118</v>
      </c>
      <c r="B54" s="110"/>
      <c r="C54" s="111" t="s">
        <v>119</v>
      </c>
      <c r="D54" s="112">
        <f>D55</f>
        <v>0</v>
      </c>
      <c r="E54" s="112">
        <f>E55</f>
        <v>0</v>
      </c>
      <c r="F54" s="99"/>
      <c r="G54" s="100"/>
      <c r="H54" s="113">
        <f t="shared" si="3"/>
        <v>0</v>
      </c>
      <c r="I54" s="124"/>
      <c r="J54" s="48"/>
      <c r="K54" s="48"/>
      <c r="L54" s="48"/>
      <c r="M54" s="48"/>
      <c r="N54" s="48"/>
      <c r="O54" s="48"/>
      <c r="P54" s="48"/>
    </row>
    <row r="55" spans="1:16" ht="58.5" customHeight="1" hidden="1">
      <c r="A55" s="129" t="s">
        <v>120</v>
      </c>
      <c r="B55" s="130"/>
      <c r="C55" s="122" t="s">
        <v>121</v>
      </c>
      <c r="D55" s="140">
        <v>0</v>
      </c>
      <c r="E55" s="140">
        <v>0</v>
      </c>
      <c r="F55" s="141"/>
      <c r="G55" s="142"/>
      <c r="H55" s="143">
        <f t="shared" si="3"/>
        <v>0</v>
      </c>
      <c r="I55" s="141"/>
      <c r="J55" s="48"/>
      <c r="K55" s="48"/>
      <c r="L55" s="48"/>
      <c r="M55" s="48"/>
      <c r="N55" s="48"/>
      <c r="O55" s="48"/>
      <c r="P55" s="48"/>
    </row>
    <row r="56" spans="1:16" ht="56.25" customHeight="1" hidden="1">
      <c r="A56" s="109" t="s">
        <v>122</v>
      </c>
      <c r="B56" s="110"/>
      <c r="C56" s="111" t="s">
        <v>123</v>
      </c>
      <c r="D56" s="112">
        <f>D57</f>
        <v>0</v>
      </c>
      <c r="E56" s="112">
        <f>E57</f>
        <v>0</v>
      </c>
      <c r="F56" s="99"/>
      <c r="G56" s="100"/>
      <c r="H56" s="113">
        <f t="shared" si="3"/>
        <v>0</v>
      </c>
      <c r="I56" s="124"/>
      <c r="J56" s="48"/>
      <c r="K56" s="48"/>
      <c r="L56" s="48"/>
      <c r="M56" s="48"/>
      <c r="N56" s="48"/>
      <c r="O56" s="48"/>
      <c r="P56" s="48"/>
    </row>
    <row r="57" spans="1:16" ht="67.5" customHeight="1" hidden="1">
      <c r="A57" s="129" t="s">
        <v>124</v>
      </c>
      <c r="B57" s="130"/>
      <c r="C57" s="122" t="s">
        <v>125</v>
      </c>
      <c r="D57" s="131">
        <v>0</v>
      </c>
      <c r="E57" s="131">
        <v>0</v>
      </c>
      <c r="F57" s="99"/>
      <c r="G57" s="100"/>
      <c r="H57" s="132">
        <f t="shared" si="3"/>
        <v>0</v>
      </c>
      <c r="I57" s="133"/>
      <c r="J57" s="48"/>
      <c r="K57" s="48"/>
      <c r="L57" s="48"/>
      <c r="M57" s="48"/>
      <c r="N57" s="48"/>
      <c r="O57" s="48"/>
      <c r="P57" s="48"/>
    </row>
    <row r="58" spans="1:16" ht="48" customHeight="1" hidden="1">
      <c r="A58" s="109" t="s">
        <v>126</v>
      </c>
      <c r="B58" s="110"/>
      <c r="C58" s="111" t="s">
        <v>127</v>
      </c>
      <c r="D58" s="112">
        <f>D59</f>
        <v>0</v>
      </c>
      <c r="E58" s="112">
        <f>E59</f>
        <v>0</v>
      </c>
      <c r="F58" s="99"/>
      <c r="G58" s="100"/>
      <c r="H58" s="113">
        <f t="shared" si="3"/>
        <v>0</v>
      </c>
      <c r="I58" s="124"/>
      <c r="J58" s="48"/>
      <c r="K58" s="48"/>
      <c r="L58" s="48"/>
      <c r="M58" s="48"/>
      <c r="N58" s="48"/>
      <c r="O58" s="48"/>
      <c r="P58" s="48"/>
    </row>
    <row r="59" spans="1:16" ht="56.25" customHeight="1" hidden="1">
      <c r="A59" s="129" t="s">
        <v>128</v>
      </c>
      <c r="B59" s="130"/>
      <c r="C59" s="122" t="s">
        <v>127</v>
      </c>
      <c r="D59" s="131">
        <v>0</v>
      </c>
      <c r="E59" s="131">
        <v>0</v>
      </c>
      <c r="F59" s="99"/>
      <c r="G59" s="100"/>
      <c r="H59" s="132">
        <f t="shared" si="3"/>
        <v>0</v>
      </c>
      <c r="I59" s="133"/>
      <c r="J59" s="48"/>
      <c r="K59" s="48"/>
      <c r="L59" s="48"/>
      <c r="M59" s="48"/>
      <c r="N59" s="48"/>
      <c r="O59" s="48"/>
      <c r="P59" s="48"/>
    </row>
    <row r="60" spans="1:16" ht="35.25" customHeight="1" hidden="1">
      <c r="A60" s="109" t="s">
        <v>129</v>
      </c>
      <c r="B60" s="110"/>
      <c r="C60" s="111" t="s">
        <v>130</v>
      </c>
      <c r="D60" s="112">
        <v>0</v>
      </c>
      <c r="E60" s="112">
        <v>0</v>
      </c>
      <c r="F60" s="99"/>
      <c r="G60" s="100"/>
      <c r="H60" s="113">
        <f t="shared" si="3"/>
        <v>0</v>
      </c>
      <c r="I60" s="124"/>
      <c r="J60" s="48"/>
      <c r="K60" s="48"/>
      <c r="L60" s="48"/>
      <c r="M60" s="48"/>
      <c r="N60" s="48"/>
      <c r="O60" s="48"/>
      <c r="P60" s="48"/>
    </row>
    <row r="61" spans="1:16" ht="35.25" customHeight="1" hidden="1">
      <c r="A61" s="109" t="s">
        <v>131</v>
      </c>
      <c r="B61" s="110"/>
      <c r="C61" s="111" t="s">
        <v>132</v>
      </c>
      <c r="D61" s="112">
        <v>0</v>
      </c>
      <c r="E61" s="112">
        <v>0</v>
      </c>
      <c r="F61" s="99"/>
      <c r="G61" s="100"/>
      <c r="H61" s="113">
        <f t="shared" si="3"/>
        <v>0</v>
      </c>
      <c r="I61" s="124"/>
      <c r="J61" s="48"/>
      <c r="K61" s="48"/>
      <c r="L61" s="48"/>
      <c r="M61" s="48"/>
      <c r="N61" s="48"/>
      <c r="O61" s="48"/>
      <c r="P61" s="48"/>
    </row>
    <row r="62" spans="1:16" ht="24.75" customHeight="1" hidden="1">
      <c r="A62" s="95" t="s">
        <v>133</v>
      </c>
      <c r="B62" s="96"/>
      <c r="C62" s="97" t="s">
        <v>134</v>
      </c>
      <c r="D62" s="98">
        <f>D63+D64</f>
        <v>0</v>
      </c>
      <c r="E62" s="98">
        <f>E63+E64</f>
        <v>0</v>
      </c>
      <c r="F62" s="99"/>
      <c r="G62" s="100"/>
      <c r="H62" s="101">
        <f t="shared" si="3"/>
        <v>0</v>
      </c>
      <c r="I62" s="125"/>
      <c r="J62" s="48"/>
      <c r="K62" s="48"/>
      <c r="L62" s="48"/>
      <c r="M62" s="48"/>
      <c r="N62" s="48"/>
      <c r="O62" s="48"/>
      <c r="P62" s="48"/>
    </row>
    <row r="63" spans="1:16" ht="13.5" customHeight="1" hidden="1">
      <c r="A63" s="129" t="s">
        <v>135</v>
      </c>
      <c r="B63" s="130"/>
      <c r="C63" s="122" t="s">
        <v>136</v>
      </c>
      <c r="D63" s="131">
        <v>0</v>
      </c>
      <c r="E63" s="131">
        <v>0</v>
      </c>
      <c r="F63" s="99"/>
      <c r="G63" s="100"/>
      <c r="H63" s="132">
        <f t="shared" si="3"/>
        <v>0</v>
      </c>
      <c r="I63" s="133"/>
      <c r="J63" s="48"/>
      <c r="K63" s="48"/>
      <c r="L63" s="48"/>
      <c r="M63" s="48"/>
      <c r="N63" s="48"/>
      <c r="O63" s="48"/>
      <c r="P63" s="48"/>
    </row>
    <row r="64" spans="1:16" ht="13.5" customHeight="1" hidden="1">
      <c r="A64" s="129" t="s">
        <v>137</v>
      </c>
      <c r="B64" s="130"/>
      <c r="C64" s="122" t="s">
        <v>138</v>
      </c>
      <c r="D64" s="131">
        <v>0</v>
      </c>
      <c r="E64" s="131">
        <v>0</v>
      </c>
      <c r="F64" s="99"/>
      <c r="G64" s="100"/>
      <c r="H64" s="132">
        <f t="shared" si="3"/>
        <v>0</v>
      </c>
      <c r="I64" s="133"/>
      <c r="J64" s="48"/>
      <c r="K64" s="48"/>
      <c r="L64" s="48"/>
      <c r="M64" s="48"/>
      <c r="N64" s="48"/>
      <c r="O64" s="48"/>
      <c r="P64" s="48"/>
    </row>
    <row r="65" spans="1:16" ht="13.5" customHeight="1" hidden="1">
      <c r="A65" s="95" t="s">
        <v>139</v>
      </c>
      <c r="B65" s="96"/>
      <c r="C65" s="97" t="s">
        <v>140</v>
      </c>
      <c r="D65" s="98">
        <f>D66+D67+D68</f>
        <v>0</v>
      </c>
      <c r="E65" s="98">
        <f>E66+E67+E68</f>
        <v>0</v>
      </c>
      <c r="F65" s="99"/>
      <c r="G65" s="100"/>
      <c r="H65" s="101">
        <f t="shared" si="3"/>
        <v>0</v>
      </c>
      <c r="I65" s="125"/>
      <c r="J65" s="48"/>
      <c r="K65" s="48"/>
      <c r="L65" s="48"/>
      <c r="M65" s="48"/>
      <c r="N65" s="48"/>
      <c r="O65" s="48"/>
      <c r="P65" s="48"/>
    </row>
    <row r="66" spans="1:16" ht="33.75" customHeight="1" hidden="1">
      <c r="A66" s="129" t="s">
        <v>141</v>
      </c>
      <c r="B66" s="130"/>
      <c r="C66" s="122" t="s">
        <v>142</v>
      </c>
      <c r="D66" s="131">
        <v>0</v>
      </c>
      <c r="E66" s="131">
        <v>0</v>
      </c>
      <c r="F66" s="99"/>
      <c r="G66" s="100"/>
      <c r="H66" s="132">
        <f t="shared" si="3"/>
        <v>0</v>
      </c>
      <c r="I66" s="133"/>
      <c r="J66" s="48"/>
      <c r="K66" s="48"/>
      <c r="L66" s="48"/>
      <c r="M66" s="48"/>
      <c r="N66" s="48"/>
      <c r="O66" s="48"/>
      <c r="P66" s="48"/>
    </row>
    <row r="67" spans="1:16" ht="39" customHeight="1" hidden="1">
      <c r="A67" s="129" t="s">
        <v>143</v>
      </c>
      <c r="B67" s="130"/>
      <c r="C67" s="122" t="s">
        <v>144</v>
      </c>
      <c r="D67" s="131">
        <v>0</v>
      </c>
      <c r="E67" s="131">
        <v>0</v>
      </c>
      <c r="F67" s="99"/>
      <c r="G67" s="100"/>
      <c r="H67" s="132">
        <f t="shared" si="3"/>
        <v>0</v>
      </c>
      <c r="I67" s="133"/>
      <c r="J67" s="48"/>
      <c r="K67" s="48"/>
      <c r="L67" s="48"/>
      <c r="M67" s="48"/>
      <c r="N67" s="48"/>
      <c r="O67" s="48"/>
      <c r="P67" s="48"/>
    </row>
    <row r="68" spans="1:16" ht="23.25" customHeight="1" hidden="1">
      <c r="A68" s="129" t="s">
        <v>145</v>
      </c>
      <c r="B68" s="130"/>
      <c r="C68" s="122" t="s">
        <v>146</v>
      </c>
      <c r="D68" s="131">
        <v>0</v>
      </c>
      <c r="E68" s="131">
        <v>0</v>
      </c>
      <c r="F68" s="99"/>
      <c r="G68" s="100"/>
      <c r="H68" s="132">
        <f t="shared" si="3"/>
        <v>0</v>
      </c>
      <c r="I68" s="144"/>
      <c r="J68" s="48"/>
      <c r="K68" s="48"/>
      <c r="L68" s="48"/>
      <c r="M68" s="48"/>
      <c r="N68" s="48"/>
      <c r="O68" s="48"/>
      <c r="P68" s="48"/>
    </row>
    <row r="69" spans="1:16" ht="15">
      <c r="A69" s="95" t="s">
        <v>147</v>
      </c>
      <c r="B69" s="96"/>
      <c r="C69" s="97" t="s">
        <v>148</v>
      </c>
      <c r="D69" s="98">
        <f>D70+D71</f>
        <v>2100</v>
      </c>
      <c r="E69" s="98">
        <f>E70+E71</f>
        <v>0</v>
      </c>
      <c r="F69" s="99"/>
      <c r="G69" s="100"/>
      <c r="H69" s="101">
        <f t="shared" si="3"/>
        <v>0</v>
      </c>
      <c r="I69" s="125">
        <f>I70+I71</f>
        <v>2100</v>
      </c>
      <c r="J69" s="48"/>
      <c r="K69" s="48"/>
      <c r="L69" s="48"/>
      <c r="M69" s="48"/>
      <c r="N69" s="48"/>
      <c r="O69" s="48"/>
      <c r="P69" s="48"/>
    </row>
    <row r="70" spans="1:16" ht="36.75" customHeight="1">
      <c r="A70" s="126" t="s">
        <v>149</v>
      </c>
      <c r="B70" s="116"/>
      <c r="C70" s="127" t="s">
        <v>150</v>
      </c>
      <c r="D70" s="118">
        <v>2100</v>
      </c>
      <c r="E70" s="118">
        <v>0</v>
      </c>
      <c r="F70" s="99"/>
      <c r="G70" s="100"/>
      <c r="H70" s="119">
        <f t="shared" si="3"/>
        <v>0</v>
      </c>
      <c r="I70" s="120">
        <f>D70-H70</f>
        <v>2100</v>
      </c>
      <c r="J70" s="48"/>
      <c r="K70" s="48"/>
      <c r="L70" s="48"/>
      <c r="M70" s="48"/>
      <c r="N70" s="48"/>
      <c r="O70" s="48"/>
      <c r="P70" s="48"/>
    </row>
    <row r="71" spans="1:16" ht="48.75" customHeight="1" hidden="1">
      <c r="A71" s="126" t="s">
        <v>151</v>
      </c>
      <c r="B71" s="116"/>
      <c r="C71" s="127" t="s">
        <v>152</v>
      </c>
      <c r="D71" s="118">
        <v>0</v>
      </c>
      <c r="E71" s="118">
        <v>0</v>
      </c>
      <c r="F71" s="99"/>
      <c r="G71" s="100"/>
      <c r="H71" s="119">
        <f t="shared" si="3"/>
        <v>0</v>
      </c>
      <c r="I71" s="99"/>
      <c r="J71" s="48"/>
      <c r="K71" s="48"/>
      <c r="L71" s="48"/>
      <c r="M71" s="48"/>
      <c r="N71" s="48"/>
      <c r="O71" s="48"/>
      <c r="P71" s="48"/>
    </row>
    <row r="72" spans="1:16" ht="15" customHeight="1">
      <c r="A72" s="95" t="s">
        <v>153</v>
      </c>
      <c r="B72" s="96"/>
      <c r="C72" s="97" t="s">
        <v>154</v>
      </c>
      <c r="D72" s="98">
        <f>D73+D75</f>
        <v>0</v>
      </c>
      <c r="E72" s="98">
        <f>E73+E75</f>
        <v>927.09</v>
      </c>
      <c r="F72" s="99"/>
      <c r="G72" s="100"/>
      <c r="H72" s="101">
        <f t="shared" si="3"/>
        <v>927.09</v>
      </c>
      <c r="I72" s="125"/>
      <c r="J72" s="48"/>
      <c r="K72" s="48"/>
      <c r="L72" s="48"/>
      <c r="M72" s="48"/>
      <c r="N72" s="48"/>
      <c r="O72" s="48"/>
      <c r="P72" s="48"/>
    </row>
    <row r="73" spans="1:16" ht="15" customHeight="1" hidden="1">
      <c r="A73" s="103" t="s">
        <v>155</v>
      </c>
      <c r="B73" s="104"/>
      <c r="C73" s="105" t="s">
        <v>156</v>
      </c>
      <c r="D73" s="106">
        <f>D74+D77</f>
        <v>0</v>
      </c>
      <c r="E73" s="106">
        <f>E74+E77</f>
        <v>927.09</v>
      </c>
      <c r="F73" s="99"/>
      <c r="G73" s="100"/>
      <c r="H73" s="107">
        <f t="shared" si="3"/>
        <v>927.09</v>
      </c>
      <c r="I73" s="108"/>
      <c r="J73" s="48"/>
      <c r="K73" s="48"/>
      <c r="L73" s="48"/>
      <c r="M73" s="48"/>
      <c r="N73" s="48"/>
      <c r="O73" s="48"/>
      <c r="P73" s="48"/>
    </row>
    <row r="74" spans="1:16" ht="24.75" customHeight="1" hidden="1">
      <c r="A74" s="126" t="s">
        <v>157</v>
      </c>
      <c r="B74" s="116"/>
      <c r="C74" s="127" t="s">
        <v>158</v>
      </c>
      <c r="D74" s="118">
        <v>0</v>
      </c>
      <c r="E74" s="118">
        <v>0</v>
      </c>
      <c r="F74" s="99"/>
      <c r="G74" s="100"/>
      <c r="H74" s="119">
        <f t="shared" si="3"/>
        <v>0</v>
      </c>
      <c r="I74" s="99"/>
      <c r="J74" s="48"/>
      <c r="K74" s="48"/>
      <c r="L74" s="48"/>
      <c r="M74" s="48"/>
      <c r="N74" s="48"/>
      <c r="O74" s="48"/>
      <c r="P74" s="48"/>
    </row>
    <row r="75" spans="1:16" ht="25.5" customHeight="1" hidden="1">
      <c r="A75" s="103" t="s">
        <v>159</v>
      </c>
      <c r="B75" s="104"/>
      <c r="C75" s="105" t="s">
        <v>160</v>
      </c>
      <c r="D75" s="106">
        <f>D76</f>
        <v>0</v>
      </c>
      <c r="E75" s="106">
        <f>E76</f>
        <v>0</v>
      </c>
      <c r="F75" s="99"/>
      <c r="G75" s="100"/>
      <c r="H75" s="107">
        <f t="shared" si="3"/>
        <v>0</v>
      </c>
      <c r="I75" s="108"/>
      <c r="J75" s="48"/>
      <c r="K75" s="48"/>
      <c r="L75" s="48"/>
      <c r="M75" s="48"/>
      <c r="N75" s="48"/>
      <c r="O75" s="48"/>
      <c r="P75" s="48"/>
    </row>
    <row r="76" spans="1:16" ht="36" customHeight="1" hidden="1">
      <c r="A76" s="126" t="s">
        <v>161</v>
      </c>
      <c r="B76" s="116"/>
      <c r="C76" s="127" t="s">
        <v>162</v>
      </c>
      <c r="D76" s="118">
        <v>0</v>
      </c>
      <c r="E76" s="118">
        <v>0</v>
      </c>
      <c r="F76" s="99"/>
      <c r="G76" s="100"/>
      <c r="H76" s="119">
        <f t="shared" si="3"/>
        <v>0</v>
      </c>
      <c r="I76" s="99"/>
      <c r="J76" s="48"/>
      <c r="K76" s="48"/>
      <c r="L76" s="48"/>
      <c r="M76" s="48"/>
      <c r="N76" s="48"/>
      <c r="O76" s="48"/>
      <c r="P76" s="48"/>
    </row>
    <row r="77" spans="1:16" ht="13.5" customHeight="1">
      <c r="A77" s="126" t="s">
        <v>163</v>
      </c>
      <c r="B77" s="116"/>
      <c r="C77" s="127" t="s">
        <v>164</v>
      </c>
      <c r="D77" s="118">
        <v>0</v>
      </c>
      <c r="E77" s="118">
        <v>927.09</v>
      </c>
      <c r="F77" s="99"/>
      <c r="G77" s="100"/>
      <c r="H77" s="119">
        <f t="shared" si="3"/>
        <v>927.09</v>
      </c>
      <c r="I77" s="99"/>
      <c r="J77" s="48"/>
      <c r="K77" s="48"/>
      <c r="L77" s="48"/>
      <c r="M77" s="48"/>
      <c r="N77" s="48"/>
      <c r="O77" s="48"/>
      <c r="P77" s="48"/>
    </row>
    <row r="78" spans="1:16" ht="15" customHeight="1">
      <c r="A78" s="145" t="s">
        <v>165</v>
      </c>
      <c r="B78" s="146"/>
      <c r="C78" s="147" t="s">
        <v>166</v>
      </c>
      <c r="D78" s="148">
        <f>D79</f>
        <v>2263800</v>
      </c>
      <c r="E78" s="148">
        <f>E79</f>
        <v>2263800</v>
      </c>
      <c r="F78" s="99"/>
      <c r="G78" s="100"/>
      <c r="H78" s="93">
        <f t="shared" si="3"/>
        <v>2263800</v>
      </c>
      <c r="I78" s="149">
        <f>I79</f>
        <v>0</v>
      </c>
      <c r="J78" s="134"/>
      <c r="K78" s="48"/>
      <c r="L78" s="48"/>
      <c r="M78" s="48"/>
      <c r="N78" s="48"/>
      <c r="O78" s="48"/>
      <c r="P78" s="48"/>
    </row>
    <row r="79" spans="1:16" ht="26.25" customHeight="1">
      <c r="A79" s="95" t="s">
        <v>167</v>
      </c>
      <c r="B79" s="96"/>
      <c r="C79" s="97" t="s">
        <v>168</v>
      </c>
      <c r="D79" s="98">
        <f>D80+D82+D84+D87</f>
        <v>2263800</v>
      </c>
      <c r="E79" s="98">
        <f>E80+E82+E84+E87</f>
        <v>2263800</v>
      </c>
      <c r="F79" s="99"/>
      <c r="G79" s="100"/>
      <c r="H79" s="138">
        <f t="shared" si="3"/>
        <v>2263800</v>
      </c>
      <c r="I79" s="125">
        <f>I80+I82+I84+I87</f>
        <v>0</v>
      </c>
      <c r="J79" s="48"/>
      <c r="K79" s="48"/>
      <c r="L79" s="48"/>
      <c r="M79" s="48"/>
      <c r="N79" s="48"/>
      <c r="O79" s="48"/>
      <c r="P79" s="48"/>
    </row>
    <row r="80" spans="1:16" ht="25.5" customHeight="1">
      <c r="A80" s="103" t="s">
        <v>169</v>
      </c>
      <c r="B80" s="104"/>
      <c r="C80" s="105" t="s">
        <v>170</v>
      </c>
      <c r="D80" s="106">
        <f>D81</f>
        <v>1517000</v>
      </c>
      <c r="E80" s="106">
        <f>E81</f>
        <v>1517000</v>
      </c>
      <c r="F80" s="99"/>
      <c r="G80" s="100"/>
      <c r="H80" s="150">
        <f t="shared" si="3"/>
        <v>1517000</v>
      </c>
      <c r="I80" s="108">
        <f>I81</f>
        <v>0</v>
      </c>
      <c r="J80" s="48"/>
      <c r="K80" s="48"/>
      <c r="L80" s="48"/>
      <c r="M80" s="48"/>
      <c r="N80" s="48"/>
      <c r="O80" s="48"/>
      <c r="P80" s="48"/>
    </row>
    <row r="81" spans="1:16" ht="24" customHeight="1">
      <c r="A81" s="129" t="s">
        <v>171</v>
      </c>
      <c r="B81" s="130"/>
      <c r="C81" s="122" t="s">
        <v>172</v>
      </c>
      <c r="D81" s="131">
        <v>1517000</v>
      </c>
      <c r="E81" s="118">
        <f>252833+126417+126417+126416+126417+126417+126416+126417+126416+126417+126417</f>
        <v>1517000</v>
      </c>
      <c r="F81" s="99"/>
      <c r="G81" s="100"/>
      <c r="H81" s="151">
        <f t="shared" si="3"/>
        <v>1517000</v>
      </c>
      <c r="I81" s="99">
        <f>D81-H81</f>
        <v>0</v>
      </c>
      <c r="J81" s="152"/>
      <c r="K81" s="48"/>
      <c r="L81" s="48"/>
      <c r="M81" s="48"/>
      <c r="N81" s="48"/>
      <c r="O81" s="48"/>
      <c r="P81" s="48"/>
    </row>
    <row r="82" spans="1:16" ht="22.5">
      <c r="A82" s="103" t="s">
        <v>173</v>
      </c>
      <c r="B82" s="104"/>
      <c r="C82" s="105" t="s">
        <v>174</v>
      </c>
      <c r="D82" s="153">
        <f>D83</f>
        <v>0</v>
      </c>
      <c r="E82" s="153">
        <f>E83</f>
        <v>0</v>
      </c>
      <c r="F82" s="154"/>
      <c r="G82" s="155"/>
      <c r="H82" s="150">
        <f t="shared" si="3"/>
        <v>0</v>
      </c>
      <c r="I82" s="108"/>
      <c r="J82" s="152"/>
      <c r="K82" s="48"/>
      <c r="L82" s="48"/>
      <c r="M82" s="48"/>
      <c r="N82" s="48"/>
      <c r="O82" s="48"/>
      <c r="P82" s="48"/>
    </row>
    <row r="83" spans="1:16" ht="27.75" customHeight="1">
      <c r="A83" s="126" t="s">
        <v>175</v>
      </c>
      <c r="B83" s="156"/>
      <c r="C83" s="122" t="s">
        <v>176</v>
      </c>
      <c r="D83" s="157">
        <v>0</v>
      </c>
      <c r="E83" s="158">
        <v>0</v>
      </c>
      <c r="F83" s="154"/>
      <c r="G83" s="155"/>
      <c r="H83" s="159"/>
      <c r="I83" s="144"/>
      <c r="J83" s="152"/>
      <c r="K83" s="48"/>
      <c r="L83" s="48"/>
      <c r="M83" s="48"/>
      <c r="N83" s="48"/>
      <c r="O83" s="48"/>
      <c r="P83" s="48"/>
    </row>
    <row r="84" spans="1:16" ht="22.5" customHeight="1">
      <c r="A84" s="103" t="s">
        <v>177</v>
      </c>
      <c r="B84" s="104"/>
      <c r="C84" s="105" t="s">
        <v>178</v>
      </c>
      <c r="D84" s="106">
        <f>D85+D86</f>
        <v>73800</v>
      </c>
      <c r="E84" s="106">
        <f>E85+E86</f>
        <v>73800</v>
      </c>
      <c r="F84" s="99"/>
      <c r="G84" s="100"/>
      <c r="H84" s="108">
        <f>H85+H86</f>
        <v>73800</v>
      </c>
      <c r="I84" s="106">
        <f>I85+I86</f>
        <v>0</v>
      </c>
      <c r="J84" s="152"/>
      <c r="K84" s="48"/>
      <c r="L84" s="48"/>
      <c r="M84" s="48"/>
      <c r="N84" s="48"/>
      <c r="O84" s="48"/>
      <c r="P84" s="48"/>
    </row>
    <row r="85" spans="1:16" s="161" customFormat="1" ht="24" customHeight="1">
      <c r="A85" s="126" t="s">
        <v>179</v>
      </c>
      <c r="B85" s="116"/>
      <c r="C85" s="127" t="s">
        <v>180</v>
      </c>
      <c r="D85" s="158">
        <f>1900+600+1300</f>
        <v>3800</v>
      </c>
      <c r="E85" s="158">
        <f>950+950+950+950</f>
        <v>3800</v>
      </c>
      <c r="F85" s="154"/>
      <c r="G85" s="155"/>
      <c r="H85" s="160">
        <f aca="true" t="shared" si="4" ref="H85:H90">E85</f>
        <v>3800</v>
      </c>
      <c r="I85" s="154">
        <f aca="true" t="shared" si="5" ref="I85:I86">D85-H85</f>
        <v>0</v>
      </c>
      <c r="J85" s="152"/>
      <c r="K85" s="152"/>
      <c r="L85" s="152"/>
      <c r="M85" s="152"/>
      <c r="N85" s="152"/>
      <c r="O85" s="152"/>
      <c r="P85" s="152"/>
    </row>
    <row r="86" spans="1:16" ht="38.25" customHeight="1">
      <c r="A86" s="129" t="s">
        <v>181</v>
      </c>
      <c r="B86" s="130"/>
      <c r="C86" s="122" t="s">
        <v>182</v>
      </c>
      <c r="D86" s="131">
        <f>67500+2500</f>
        <v>70000</v>
      </c>
      <c r="E86" s="131">
        <f>16875+50625+2500</f>
        <v>70000</v>
      </c>
      <c r="F86" s="99"/>
      <c r="G86" s="100"/>
      <c r="H86" s="151">
        <f t="shared" si="4"/>
        <v>70000</v>
      </c>
      <c r="I86" s="154">
        <f t="shared" si="5"/>
        <v>0</v>
      </c>
      <c r="J86" s="48"/>
      <c r="K86" s="48"/>
      <c r="L86" s="48"/>
      <c r="M86" s="48"/>
      <c r="N86" s="48"/>
      <c r="O86" s="48"/>
      <c r="P86" s="48"/>
    </row>
    <row r="87" spans="1:16" ht="13.5" customHeight="1">
      <c r="A87" s="103" t="s">
        <v>183</v>
      </c>
      <c r="B87" s="104"/>
      <c r="C87" s="105" t="s">
        <v>184</v>
      </c>
      <c r="D87" s="153">
        <f>D88+D89</f>
        <v>673000</v>
      </c>
      <c r="E87" s="153">
        <f>E88+E89</f>
        <v>673000</v>
      </c>
      <c r="F87" s="154"/>
      <c r="G87" s="155"/>
      <c r="H87" s="150">
        <f t="shared" si="4"/>
        <v>673000</v>
      </c>
      <c r="I87" s="108"/>
      <c r="J87" s="48"/>
      <c r="K87" s="48"/>
      <c r="L87" s="48"/>
      <c r="M87" s="48"/>
      <c r="N87" s="48"/>
      <c r="O87" s="48"/>
      <c r="P87" s="48"/>
    </row>
    <row r="88" spans="1:16" ht="47.25" customHeight="1">
      <c r="A88" s="162" t="s">
        <v>185</v>
      </c>
      <c r="B88" s="163"/>
      <c r="C88" s="164" t="s">
        <v>186</v>
      </c>
      <c r="D88" s="158">
        <v>0</v>
      </c>
      <c r="E88" s="158">
        <v>0</v>
      </c>
      <c r="F88" s="154"/>
      <c r="G88" s="155"/>
      <c r="H88" s="151">
        <f t="shared" si="4"/>
        <v>0</v>
      </c>
      <c r="I88" s="154"/>
      <c r="J88" s="48"/>
      <c r="K88" s="48"/>
      <c r="L88" s="48"/>
      <c r="M88" s="48"/>
      <c r="N88" s="48"/>
      <c r="O88" s="48"/>
      <c r="P88" s="48"/>
    </row>
    <row r="89" spans="1:16" ht="26.25" customHeight="1">
      <c r="A89" s="126" t="s">
        <v>187</v>
      </c>
      <c r="B89" s="165"/>
      <c r="C89" s="166" t="s">
        <v>188</v>
      </c>
      <c r="D89" s="158">
        <v>673000</v>
      </c>
      <c r="E89" s="158">
        <f>112166.6+112166.7+224333.3+112166.84+112166.56</f>
        <v>673000</v>
      </c>
      <c r="F89" s="154"/>
      <c r="G89" s="155"/>
      <c r="H89" s="151">
        <f t="shared" si="4"/>
        <v>673000</v>
      </c>
      <c r="I89" s="154"/>
      <c r="J89" s="48"/>
      <c r="K89" s="48"/>
      <c r="L89" s="48"/>
      <c r="M89" s="48"/>
      <c r="N89" s="48"/>
      <c r="O89" s="48"/>
      <c r="P89" s="48"/>
    </row>
    <row r="90" spans="1:16" ht="18.75" customHeight="1">
      <c r="A90" s="167" t="s">
        <v>58</v>
      </c>
      <c r="B90" s="168"/>
      <c r="C90" s="169" t="s">
        <v>189</v>
      </c>
      <c r="D90" s="170">
        <f>D26+D78</f>
        <v>10036336</v>
      </c>
      <c r="E90" s="170">
        <f>E26+E78</f>
        <v>7712697.51</v>
      </c>
      <c r="F90" s="171"/>
      <c r="G90" s="172"/>
      <c r="H90" s="173">
        <f t="shared" si="4"/>
        <v>7712697.51</v>
      </c>
      <c r="I90" s="174" t="s">
        <v>60</v>
      </c>
      <c r="J90" s="48"/>
      <c r="K90" s="48"/>
      <c r="L90" s="48"/>
      <c r="M90" s="48"/>
      <c r="N90" s="48"/>
      <c r="O90" s="48"/>
      <c r="P90" s="48"/>
    </row>
    <row r="91" ht="15"/>
    <row r="93" ht="15"/>
  </sheetData>
  <sheetProtection selectLockedCells="1" selectUnlockedCells="1"/>
  <mergeCells count="8">
    <mergeCell ref="A2:H2"/>
    <mergeCell ref="A3:H3"/>
    <mergeCell ref="A4:H4"/>
    <mergeCell ref="A5:H5"/>
    <mergeCell ref="A6:H6"/>
    <mergeCell ref="B7:F7"/>
    <mergeCell ref="B14:D14"/>
    <mergeCell ref="A17:H17"/>
  </mergeCells>
  <printOptions gridLines="1"/>
  <pageMargins left="0.5402777777777777" right="0.39375" top="0.4298611111111111" bottom="0.49027777777777776" header="0.2701388888888889" footer="0.5118055555555555"/>
  <pageSetup horizontalDpi="300" verticalDpi="300" orientation="landscape" pageOrder="overThenDown" paperSize="9" scale="87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12"/>
  <sheetViews>
    <sheetView workbookViewId="0" topLeftCell="A1">
      <selection activeCell="H183" sqref="H183"/>
    </sheetView>
  </sheetViews>
  <sheetFormatPr defaultColWidth="8.00390625" defaultRowHeight="12.75"/>
  <cols>
    <col min="1" max="1" width="0.875" style="175" customWidth="1"/>
    <col min="2" max="2" width="29.125" style="175" customWidth="1"/>
    <col min="3" max="3" width="4.125" style="175" customWidth="1"/>
    <col min="4" max="4" width="26.625" style="175" customWidth="1"/>
    <col min="5" max="7" width="14.625" style="175" customWidth="1"/>
    <col min="8" max="9" width="11.375" style="175" customWidth="1"/>
    <col min="10" max="10" width="11.625" style="175" customWidth="1"/>
    <col min="11" max="11" width="11.375" style="175" customWidth="1"/>
    <col min="12" max="12" width="11.625" style="175" customWidth="1"/>
    <col min="13" max="16384" width="9.125" style="175" customWidth="1"/>
  </cols>
  <sheetData>
    <row r="1" ht="11.25">
      <c r="L1" s="176"/>
    </row>
    <row r="2" spans="2:12" ht="12">
      <c r="B2" s="177"/>
      <c r="C2" s="178"/>
      <c r="D2" s="179"/>
      <c r="E2" s="178"/>
      <c r="F2" s="180"/>
      <c r="G2" s="180"/>
      <c r="H2" s="181"/>
      <c r="I2" s="181"/>
      <c r="J2" s="181"/>
      <c r="K2" s="182" t="s">
        <v>190</v>
      </c>
      <c r="L2" s="183"/>
    </row>
    <row r="3" spans="2:12" ht="15" customHeight="1">
      <c r="B3" s="184"/>
      <c r="C3" s="184"/>
      <c r="D3" s="185"/>
      <c r="E3" s="186"/>
      <c r="F3" s="187" t="s">
        <v>191</v>
      </c>
      <c r="G3" s="188"/>
      <c r="H3" s="186"/>
      <c r="I3" s="188"/>
      <c r="J3" s="188"/>
      <c r="K3" s="188"/>
      <c r="L3" s="189"/>
    </row>
    <row r="4" spans="2:12" ht="9.75" customHeight="1">
      <c r="B4" s="184"/>
      <c r="C4" s="184"/>
      <c r="D4" s="185"/>
      <c r="E4" s="186"/>
      <c r="F4" s="187"/>
      <c r="G4" s="188"/>
      <c r="H4" s="186"/>
      <c r="I4" s="188"/>
      <c r="J4" s="188"/>
      <c r="K4" s="188"/>
      <c r="L4" s="189"/>
    </row>
    <row r="5" spans="2:12" ht="12.75" customHeight="1">
      <c r="B5" s="190" t="s">
        <v>36</v>
      </c>
      <c r="C5" s="191" t="s">
        <v>31</v>
      </c>
      <c r="D5" s="192" t="s">
        <v>192</v>
      </c>
      <c r="E5" s="193" t="s">
        <v>33</v>
      </c>
      <c r="F5" s="193" t="s">
        <v>193</v>
      </c>
      <c r="G5" s="194" t="s">
        <v>34</v>
      </c>
      <c r="H5" s="194"/>
      <c r="I5" s="194"/>
      <c r="J5" s="194"/>
      <c r="K5" s="195" t="s">
        <v>194</v>
      </c>
      <c r="L5" s="196"/>
    </row>
    <row r="6" spans="2:12" ht="13.5" customHeight="1">
      <c r="B6" s="190"/>
      <c r="C6" s="197" t="s">
        <v>195</v>
      </c>
      <c r="D6" s="198" t="s">
        <v>38</v>
      </c>
      <c r="E6" s="199" t="s">
        <v>39</v>
      </c>
      <c r="F6" s="199" t="s">
        <v>196</v>
      </c>
      <c r="G6" s="194"/>
      <c r="H6" s="194"/>
      <c r="I6" s="194"/>
      <c r="J6" s="194"/>
      <c r="K6" s="200" t="s">
        <v>197</v>
      </c>
      <c r="L6" s="201"/>
    </row>
    <row r="7" spans="2:12" ht="12.75" customHeight="1">
      <c r="B7" s="190"/>
      <c r="C7" s="197" t="s">
        <v>198</v>
      </c>
      <c r="D7" s="198" t="s">
        <v>45</v>
      </c>
      <c r="E7" s="199" t="s">
        <v>44</v>
      </c>
      <c r="F7" s="199" t="s">
        <v>199</v>
      </c>
      <c r="G7" s="202" t="s">
        <v>41</v>
      </c>
      <c r="H7" s="203" t="s">
        <v>41</v>
      </c>
      <c r="I7" s="204" t="s">
        <v>200</v>
      </c>
      <c r="J7" s="204"/>
      <c r="K7" s="204" t="s">
        <v>201</v>
      </c>
      <c r="L7" s="205" t="s">
        <v>202</v>
      </c>
    </row>
    <row r="8" spans="2:12" ht="12.75" customHeight="1">
      <c r="B8" s="190"/>
      <c r="C8" s="206"/>
      <c r="D8" s="198"/>
      <c r="E8" s="199"/>
      <c r="F8" s="199"/>
      <c r="G8" s="207" t="s">
        <v>46</v>
      </c>
      <c r="H8" s="208" t="s">
        <v>47</v>
      </c>
      <c r="I8" s="208" t="s">
        <v>51</v>
      </c>
      <c r="J8" s="208" t="s">
        <v>43</v>
      </c>
      <c r="K8" s="208" t="s">
        <v>203</v>
      </c>
      <c r="L8" s="209" t="s">
        <v>196</v>
      </c>
    </row>
    <row r="9" spans="2:12" ht="12.75" customHeight="1">
      <c r="B9" s="190"/>
      <c r="C9" s="210"/>
      <c r="D9" s="211"/>
      <c r="E9" s="212"/>
      <c r="F9" s="213"/>
      <c r="G9" s="214" t="s">
        <v>49</v>
      </c>
      <c r="H9" s="215" t="s">
        <v>50</v>
      </c>
      <c r="I9" s="215"/>
      <c r="J9" s="215"/>
      <c r="K9" s="215" t="s">
        <v>204</v>
      </c>
      <c r="L9" s="216" t="s">
        <v>199</v>
      </c>
    </row>
    <row r="10" spans="2:12" ht="12">
      <c r="B10" s="217">
        <v>1</v>
      </c>
      <c r="C10" s="218">
        <v>2</v>
      </c>
      <c r="D10" s="218">
        <v>3</v>
      </c>
      <c r="E10" s="219" t="s">
        <v>52</v>
      </c>
      <c r="F10" s="219" t="s">
        <v>53</v>
      </c>
      <c r="G10" s="219" t="s">
        <v>54</v>
      </c>
      <c r="H10" s="219" t="s">
        <v>55</v>
      </c>
      <c r="I10" s="219" t="s">
        <v>56</v>
      </c>
      <c r="J10" s="219" t="s">
        <v>57</v>
      </c>
      <c r="K10" s="219" t="s">
        <v>205</v>
      </c>
      <c r="L10" s="220" t="s">
        <v>206</v>
      </c>
    </row>
    <row r="11" spans="2:12" s="221" customFormat="1" ht="18" customHeight="1">
      <c r="B11" s="222" t="s">
        <v>207</v>
      </c>
      <c r="C11" s="223" t="s">
        <v>208</v>
      </c>
      <c r="D11" s="224"/>
      <c r="E11" s="225"/>
      <c r="F11" s="226">
        <f>F13+F69+F74+F85+F99+F144+F162+F200+F204</f>
        <v>10422900</v>
      </c>
      <c r="G11" s="226">
        <f>G13+G69+G74+G85+G99+G144+G162+G200+G204</f>
        <v>7077844.489999999</v>
      </c>
      <c r="H11" s="225"/>
      <c r="I11" s="226">
        <f>I13+I69+I74+I85+I99+I144+I162+I200+I204</f>
        <v>0</v>
      </c>
      <c r="J11" s="226">
        <f>G11</f>
        <v>7077844.489999999</v>
      </c>
      <c r="K11" s="225"/>
      <c r="L11" s="227">
        <f>F11-J11</f>
        <v>3345055.5100000007</v>
      </c>
    </row>
    <row r="12" spans="2:12" ht="15" customHeight="1">
      <c r="B12" s="228"/>
      <c r="C12" s="229"/>
      <c r="D12" s="230" t="s">
        <v>209</v>
      </c>
      <c r="E12" s="231"/>
      <c r="F12" s="232" t="s">
        <v>210</v>
      </c>
      <c r="G12" s="232"/>
      <c r="H12" s="232"/>
      <c r="I12" s="232"/>
      <c r="J12" s="233"/>
      <c r="K12" s="232"/>
      <c r="L12" s="234"/>
    </row>
    <row r="13" spans="2:12" ht="18" customHeight="1">
      <c r="B13" s="235" t="s">
        <v>211</v>
      </c>
      <c r="C13" s="236"/>
      <c r="D13" s="237" t="s">
        <v>212</v>
      </c>
      <c r="E13" s="238"/>
      <c r="F13" s="239">
        <f>F29+F33+F57+F60+F63+F66</f>
        <v>3135100</v>
      </c>
      <c r="G13" s="239">
        <f>G29+G33+G57+G60+G63+G66</f>
        <v>3085441.8399999994</v>
      </c>
      <c r="H13" s="238"/>
      <c r="I13" s="239">
        <f>I29+I33+I57+I60+I63</f>
        <v>0</v>
      </c>
      <c r="J13" s="239">
        <f aca="true" t="shared" si="0" ref="J13:J27">G13</f>
        <v>3085441.8399999994</v>
      </c>
      <c r="K13" s="240"/>
      <c r="L13" s="241">
        <f aca="true" t="shared" si="1" ref="L13:L27">F13-J13</f>
        <v>49658.160000000615</v>
      </c>
    </row>
    <row r="14" spans="2:12" ht="15" customHeight="1">
      <c r="B14" s="242" t="s">
        <v>213</v>
      </c>
      <c r="C14" s="243"/>
      <c r="D14" s="244" t="s">
        <v>214</v>
      </c>
      <c r="E14" s="245"/>
      <c r="F14" s="245">
        <f>F15+F18+F25+F26</f>
        <v>2820927</v>
      </c>
      <c r="G14" s="245">
        <f>G15+G18+G25+G26</f>
        <v>2802883.84</v>
      </c>
      <c r="H14" s="245"/>
      <c r="I14" s="245"/>
      <c r="J14" s="245">
        <f t="shared" si="0"/>
        <v>2802883.84</v>
      </c>
      <c r="K14" s="245"/>
      <c r="L14" s="246">
        <f t="shared" si="1"/>
        <v>18043.16000000015</v>
      </c>
    </row>
    <row r="15" spans="2:12" ht="15" customHeight="1">
      <c r="B15" s="247" t="s">
        <v>215</v>
      </c>
      <c r="C15" s="248"/>
      <c r="D15" s="249" t="s">
        <v>216</v>
      </c>
      <c r="E15" s="250"/>
      <c r="F15" s="250">
        <f>F16+F17</f>
        <v>2036511.89</v>
      </c>
      <c r="G15" s="250">
        <f>G16+G17</f>
        <v>2036380.27</v>
      </c>
      <c r="H15" s="250"/>
      <c r="I15" s="250"/>
      <c r="J15" s="250">
        <f t="shared" si="0"/>
        <v>2036380.27</v>
      </c>
      <c r="K15" s="250"/>
      <c r="L15" s="251">
        <f t="shared" si="1"/>
        <v>131.61999999987893</v>
      </c>
    </row>
    <row r="16" spans="2:12" ht="15" customHeight="1">
      <c r="B16" s="247" t="s">
        <v>217</v>
      </c>
      <c r="C16" s="248"/>
      <c r="D16" s="249" t="s">
        <v>218</v>
      </c>
      <c r="E16" s="250"/>
      <c r="F16" s="250">
        <f>F31+F37</f>
        <v>1530714.7</v>
      </c>
      <c r="G16" s="250">
        <f>G31+G37</f>
        <v>1530714</v>
      </c>
      <c r="H16" s="250"/>
      <c r="I16" s="250"/>
      <c r="J16" s="250">
        <f t="shared" si="0"/>
        <v>1530714</v>
      </c>
      <c r="K16" s="250"/>
      <c r="L16" s="251">
        <f t="shared" si="1"/>
        <v>0.6999999999534339</v>
      </c>
    </row>
    <row r="17" spans="2:12" ht="15" customHeight="1">
      <c r="B17" s="247" t="s">
        <v>219</v>
      </c>
      <c r="C17" s="248"/>
      <c r="D17" s="249" t="s">
        <v>220</v>
      </c>
      <c r="E17" s="250"/>
      <c r="F17" s="250">
        <f>F32+F39</f>
        <v>505797.19</v>
      </c>
      <c r="G17" s="250">
        <f>G32+G39</f>
        <v>505666.27</v>
      </c>
      <c r="H17" s="250"/>
      <c r="I17" s="250"/>
      <c r="J17" s="250">
        <f t="shared" si="0"/>
        <v>505666.27</v>
      </c>
      <c r="K17" s="250"/>
      <c r="L17" s="251">
        <f t="shared" si="1"/>
        <v>130.9199999999837</v>
      </c>
    </row>
    <row r="18" spans="2:12" ht="15" customHeight="1">
      <c r="B18" s="242" t="s">
        <v>221</v>
      </c>
      <c r="C18" s="248"/>
      <c r="D18" s="249" t="s">
        <v>222</v>
      </c>
      <c r="E18" s="250"/>
      <c r="F18" s="250">
        <f>SUM(F19:F24)</f>
        <v>595824.94</v>
      </c>
      <c r="G18" s="250">
        <f>SUM(G19:G24)</f>
        <v>577913.3999999999</v>
      </c>
      <c r="H18" s="250"/>
      <c r="I18" s="250"/>
      <c r="J18" s="250">
        <f t="shared" si="0"/>
        <v>577913.3999999999</v>
      </c>
      <c r="K18" s="250"/>
      <c r="L18" s="251">
        <f t="shared" si="1"/>
        <v>17911.540000000037</v>
      </c>
    </row>
    <row r="19" spans="2:12" ht="15" customHeight="1">
      <c r="B19" s="247" t="s">
        <v>223</v>
      </c>
      <c r="C19" s="248"/>
      <c r="D19" s="249" t="s">
        <v>224</v>
      </c>
      <c r="E19" s="250"/>
      <c r="F19" s="250">
        <f aca="true" t="shared" si="2" ref="F19:F24">F40</f>
        <v>15200</v>
      </c>
      <c r="G19" s="250">
        <f aca="true" t="shared" si="3" ref="G19:G24">G40</f>
        <v>8140.959999999999</v>
      </c>
      <c r="H19" s="250"/>
      <c r="I19" s="250"/>
      <c r="J19" s="250">
        <f t="shared" si="0"/>
        <v>8140.959999999999</v>
      </c>
      <c r="K19" s="250"/>
      <c r="L19" s="251">
        <f t="shared" si="1"/>
        <v>7059.040000000001</v>
      </c>
    </row>
    <row r="20" spans="2:12" ht="15" customHeight="1">
      <c r="B20" s="247" t="s">
        <v>225</v>
      </c>
      <c r="C20" s="248"/>
      <c r="D20" s="249" t="s">
        <v>226</v>
      </c>
      <c r="E20" s="250"/>
      <c r="F20" s="250">
        <f t="shared" si="2"/>
        <v>0</v>
      </c>
      <c r="G20" s="250">
        <f t="shared" si="3"/>
        <v>0</v>
      </c>
      <c r="H20" s="250"/>
      <c r="I20" s="250"/>
      <c r="J20" s="250">
        <f t="shared" si="0"/>
        <v>0</v>
      </c>
      <c r="K20" s="250"/>
      <c r="L20" s="251">
        <f t="shared" si="1"/>
        <v>0</v>
      </c>
    </row>
    <row r="21" spans="2:12" ht="15" customHeight="1">
      <c r="B21" s="247" t="s">
        <v>227</v>
      </c>
      <c r="C21" s="248"/>
      <c r="D21" s="249" t="s">
        <v>228</v>
      </c>
      <c r="E21" s="250"/>
      <c r="F21" s="250">
        <f t="shared" si="2"/>
        <v>0</v>
      </c>
      <c r="G21" s="250">
        <f t="shared" si="3"/>
        <v>0</v>
      </c>
      <c r="H21" s="250"/>
      <c r="I21" s="250"/>
      <c r="J21" s="250">
        <f t="shared" si="0"/>
        <v>0</v>
      </c>
      <c r="K21" s="250"/>
      <c r="L21" s="251">
        <f t="shared" si="1"/>
        <v>0</v>
      </c>
    </row>
    <row r="22" spans="2:12" ht="13.5" customHeight="1">
      <c r="B22" s="247" t="s">
        <v>229</v>
      </c>
      <c r="C22" s="248"/>
      <c r="D22" s="249" t="s">
        <v>230</v>
      </c>
      <c r="E22" s="250"/>
      <c r="F22" s="250">
        <f t="shared" si="2"/>
        <v>5800</v>
      </c>
      <c r="G22" s="250">
        <f t="shared" si="3"/>
        <v>747.5</v>
      </c>
      <c r="H22" s="250"/>
      <c r="I22" s="250"/>
      <c r="J22" s="250">
        <f t="shared" si="0"/>
        <v>747.5</v>
      </c>
      <c r="K22" s="250"/>
      <c r="L22" s="251">
        <f t="shared" si="1"/>
        <v>5052.5</v>
      </c>
    </row>
    <row r="23" spans="2:12" ht="13.5" customHeight="1">
      <c r="B23" s="247" t="s">
        <v>231</v>
      </c>
      <c r="C23" s="248"/>
      <c r="D23" s="249" t="s">
        <v>232</v>
      </c>
      <c r="E23" s="250"/>
      <c r="F23" s="250">
        <f t="shared" si="2"/>
        <v>140433</v>
      </c>
      <c r="G23" s="250">
        <f t="shared" si="3"/>
        <v>134933</v>
      </c>
      <c r="H23" s="250"/>
      <c r="I23" s="250"/>
      <c r="J23" s="250">
        <f t="shared" si="0"/>
        <v>134933</v>
      </c>
      <c r="K23" s="250"/>
      <c r="L23" s="251">
        <f t="shared" si="1"/>
        <v>5500</v>
      </c>
    </row>
    <row r="24" spans="2:12" ht="15" customHeight="1">
      <c r="B24" s="247" t="s">
        <v>233</v>
      </c>
      <c r="C24" s="248"/>
      <c r="D24" s="249" t="s">
        <v>234</v>
      </c>
      <c r="E24" s="250"/>
      <c r="F24" s="250">
        <f t="shared" si="2"/>
        <v>434391.94</v>
      </c>
      <c r="G24" s="250">
        <f t="shared" si="3"/>
        <v>434091.94</v>
      </c>
      <c r="H24" s="250"/>
      <c r="I24" s="250"/>
      <c r="J24" s="250">
        <f t="shared" si="0"/>
        <v>434091.94</v>
      </c>
      <c r="K24" s="250"/>
      <c r="L24" s="251">
        <f t="shared" si="1"/>
        <v>300</v>
      </c>
    </row>
    <row r="25" spans="2:12" ht="13.5" customHeight="1">
      <c r="B25" s="247" t="s">
        <v>235</v>
      </c>
      <c r="C25" s="248"/>
      <c r="D25" s="249" t="s">
        <v>236</v>
      </c>
      <c r="E25" s="250"/>
      <c r="F25" s="250">
        <f>F59</f>
        <v>48823</v>
      </c>
      <c r="G25" s="250">
        <f>G59</f>
        <v>48823</v>
      </c>
      <c r="H25" s="250"/>
      <c r="I25" s="250"/>
      <c r="J25" s="250">
        <f t="shared" si="0"/>
        <v>48823</v>
      </c>
      <c r="K25" s="250"/>
      <c r="L25" s="251">
        <f t="shared" si="1"/>
        <v>0</v>
      </c>
    </row>
    <row r="26" spans="2:12" ht="15" customHeight="1">
      <c r="B26" s="247" t="s">
        <v>237</v>
      </c>
      <c r="C26" s="248"/>
      <c r="D26" s="249" t="s">
        <v>238</v>
      </c>
      <c r="E26" s="250"/>
      <c r="F26" s="250">
        <f>SUM(F50:F53)</f>
        <v>139767.17</v>
      </c>
      <c r="G26" s="250">
        <f>SUM(G50:G53)</f>
        <v>139767.17</v>
      </c>
      <c r="H26" s="250"/>
      <c r="I26" s="250"/>
      <c r="J26" s="250">
        <f t="shared" si="0"/>
        <v>139767.17</v>
      </c>
      <c r="K26" s="250"/>
      <c r="L26" s="251">
        <f t="shared" si="1"/>
        <v>0</v>
      </c>
    </row>
    <row r="27" spans="2:12" ht="13.5" customHeight="1">
      <c r="B27" s="247" t="s">
        <v>239</v>
      </c>
      <c r="C27" s="248"/>
      <c r="D27" s="249" t="s">
        <v>240</v>
      </c>
      <c r="E27" s="250"/>
      <c r="F27" s="250">
        <f>F46+F47+F56</f>
        <v>175953</v>
      </c>
      <c r="G27" s="250">
        <f>G46+G47+G56</f>
        <v>175953</v>
      </c>
      <c r="H27" s="250"/>
      <c r="I27" s="250"/>
      <c r="J27" s="250">
        <f t="shared" si="0"/>
        <v>175953</v>
      </c>
      <c r="K27" s="250"/>
      <c r="L27" s="251">
        <f t="shared" si="1"/>
        <v>0</v>
      </c>
    </row>
    <row r="28" spans="2:12" ht="15" customHeight="1">
      <c r="B28" s="228"/>
      <c r="C28" s="229"/>
      <c r="D28" s="230" t="s">
        <v>209</v>
      </c>
      <c r="E28" s="231"/>
      <c r="F28" s="232"/>
      <c r="G28" s="232"/>
      <c r="H28" s="232"/>
      <c r="I28" s="232"/>
      <c r="J28" s="233"/>
      <c r="K28" s="232"/>
      <c r="L28" s="234"/>
    </row>
    <row r="29" spans="2:12" ht="34.5" customHeight="1">
      <c r="B29" s="252" t="s">
        <v>241</v>
      </c>
      <c r="C29" s="253"/>
      <c r="D29" s="254" t="s">
        <v>242</v>
      </c>
      <c r="E29" s="255"/>
      <c r="F29" s="256">
        <f>F31+F32</f>
        <v>198631.74</v>
      </c>
      <c r="G29" s="256">
        <f>G31+G32</f>
        <v>198624.28</v>
      </c>
      <c r="H29" s="257"/>
      <c r="I29" s="257"/>
      <c r="J29" s="256">
        <f>G29</f>
        <v>198624.28</v>
      </c>
      <c r="K29" s="257"/>
      <c r="L29" s="258">
        <f aca="true" t="shared" si="4" ref="L29:L33">F29-J29</f>
        <v>7.459999999991851</v>
      </c>
    </row>
    <row r="30" spans="2:12" ht="15" customHeight="1">
      <c r="B30" s="228"/>
      <c r="C30" s="229"/>
      <c r="D30" s="230" t="s">
        <v>209</v>
      </c>
      <c r="E30" s="231"/>
      <c r="F30" s="232"/>
      <c r="G30" s="232"/>
      <c r="H30" s="232"/>
      <c r="I30" s="232"/>
      <c r="J30" s="233"/>
      <c r="K30" s="232"/>
      <c r="L30" s="234">
        <f t="shared" si="4"/>
        <v>0</v>
      </c>
    </row>
    <row r="31" spans="2:12" ht="15" customHeight="1">
      <c r="B31" s="259" t="s">
        <v>217</v>
      </c>
      <c r="C31" s="260"/>
      <c r="D31" s="261" t="s">
        <v>243</v>
      </c>
      <c r="E31" s="262"/>
      <c r="F31" s="263">
        <f>515000-128750-50000-(45000+2000)-137223</f>
        <v>152027</v>
      </c>
      <c r="G31" s="263">
        <f>81905+(-20220+20220)+70122</f>
        <v>152027</v>
      </c>
      <c r="H31" s="262"/>
      <c r="I31" s="262">
        <f>20220-20220</f>
        <v>0</v>
      </c>
      <c r="J31" s="262">
        <f aca="true" t="shared" si="5" ref="J31:J32">G31+I31</f>
        <v>152027</v>
      </c>
      <c r="K31" s="262"/>
      <c r="L31" s="264">
        <f t="shared" si="4"/>
        <v>0</v>
      </c>
    </row>
    <row r="32" spans="2:12" ht="15" customHeight="1">
      <c r="B32" s="265" t="s">
        <v>219</v>
      </c>
      <c r="C32" s="266"/>
      <c r="D32" s="267" t="s">
        <v>244</v>
      </c>
      <c r="E32" s="268"/>
      <c r="F32" s="269">
        <f>155000-38750-20000-49645.26</f>
        <v>46604.74</v>
      </c>
      <c r="G32" s="269">
        <f>17239.66+(-5556.06+5556.06)+29357.62</f>
        <v>46597.28</v>
      </c>
      <c r="H32" s="268"/>
      <c r="I32" s="268">
        <f>5556.06-5556.06</f>
        <v>0</v>
      </c>
      <c r="J32" s="268">
        <f t="shared" si="5"/>
        <v>46597.28</v>
      </c>
      <c r="K32" s="268"/>
      <c r="L32" s="270">
        <f t="shared" si="4"/>
        <v>7.459999999999127</v>
      </c>
    </row>
    <row r="33" spans="2:12" ht="13.5" customHeight="1">
      <c r="B33" s="271" t="s">
        <v>245</v>
      </c>
      <c r="C33" s="272"/>
      <c r="D33" s="254" t="s">
        <v>246</v>
      </c>
      <c r="E33" s="273"/>
      <c r="F33" s="274">
        <f>F35+F48+F54</f>
        <v>2749425.26</v>
      </c>
      <c r="G33" s="274">
        <f>G35+G48+G54</f>
        <v>2731389.5599999996</v>
      </c>
      <c r="H33" s="275"/>
      <c r="I33" s="274">
        <f>I35+I48+I54</f>
        <v>0</v>
      </c>
      <c r="J33" s="274">
        <f>G33</f>
        <v>2731389.5599999996</v>
      </c>
      <c r="K33" s="275"/>
      <c r="L33" s="276">
        <f t="shared" si="4"/>
        <v>18035.700000000186</v>
      </c>
    </row>
    <row r="34" spans="2:12" ht="14.25" customHeight="1">
      <c r="B34" s="277"/>
      <c r="C34" s="278"/>
      <c r="D34" s="279" t="s">
        <v>247</v>
      </c>
      <c r="E34" s="280"/>
      <c r="F34" s="280"/>
      <c r="G34" s="280"/>
      <c r="H34" s="280"/>
      <c r="I34" s="280"/>
      <c r="J34" s="280"/>
      <c r="K34" s="280"/>
      <c r="L34" s="281"/>
    </row>
    <row r="35" spans="2:12" ht="13.5" customHeight="1">
      <c r="B35" s="282" t="s">
        <v>248</v>
      </c>
      <c r="C35" s="248"/>
      <c r="D35" s="283" t="s">
        <v>249</v>
      </c>
      <c r="E35" s="250"/>
      <c r="F35" s="284">
        <f>SUM(F37:F47)</f>
        <v>2605858.09</v>
      </c>
      <c r="G35" s="284">
        <f>SUM(G37:G47)</f>
        <v>2587822.3899999997</v>
      </c>
      <c r="H35" s="284"/>
      <c r="I35" s="284">
        <f>SUM(I37:I47)</f>
        <v>0</v>
      </c>
      <c r="J35" s="284">
        <f>G35</f>
        <v>2587822.3899999997</v>
      </c>
      <c r="K35" s="250"/>
      <c r="L35" s="251">
        <f>F35-G35</f>
        <v>18035.700000000186</v>
      </c>
    </row>
    <row r="36" spans="2:12" ht="14.25" customHeight="1">
      <c r="B36" s="277"/>
      <c r="C36" s="278"/>
      <c r="D36" s="279" t="s">
        <v>247</v>
      </c>
      <c r="E36" s="280"/>
      <c r="F36" s="280"/>
      <c r="G36" s="280"/>
      <c r="H36" s="280"/>
      <c r="I36" s="280"/>
      <c r="J36" s="280"/>
      <c r="K36" s="280"/>
      <c r="L36" s="281"/>
    </row>
    <row r="37" spans="2:12" ht="15" customHeight="1">
      <c r="B37" s="277" t="s">
        <v>217</v>
      </c>
      <c r="C37" s="278"/>
      <c r="D37" s="261" t="s">
        <v>250</v>
      </c>
      <c r="E37" s="280"/>
      <c r="F37" s="263">
        <f>1090000+118750+50000+45000+74937.7</f>
        <v>1378687.7</v>
      </c>
      <c r="G37" s="263">
        <f>41600+105828+235917+109598+40351+170430+70086+88023+130365.3+84094.7+160785+(20220-20220)+141609</f>
        <v>1378687</v>
      </c>
      <c r="H37" s="280"/>
      <c r="I37" s="280">
        <f>-20220+20220</f>
        <v>0</v>
      </c>
      <c r="J37" s="262">
        <f>G37+I37</f>
        <v>1378687</v>
      </c>
      <c r="K37" s="280"/>
      <c r="L37" s="281">
        <f aca="true" t="shared" si="6" ref="L37:L47">F37-J37</f>
        <v>0.6999999999534339</v>
      </c>
    </row>
    <row r="38" spans="2:12" ht="15" customHeight="1">
      <c r="B38" s="277" t="s">
        <v>251</v>
      </c>
      <c r="C38" s="278"/>
      <c r="D38" s="261" t="s">
        <v>252</v>
      </c>
      <c r="E38" s="280"/>
      <c r="F38" s="263"/>
      <c r="G38" s="263"/>
      <c r="H38" s="280"/>
      <c r="I38" s="280"/>
      <c r="J38" s="280">
        <f>G38</f>
        <v>0</v>
      </c>
      <c r="K38" s="280"/>
      <c r="L38" s="281">
        <f t="shared" si="6"/>
        <v>0</v>
      </c>
    </row>
    <row r="39" spans="2:12" ht="15" customHeight="1">
      <c r="B39" s="277" t="s">
        <v>253</v>
      </c>
      <c r="C39" s="278"/>
      <c r="D39" s="261" t="s">
        <v>254</v>
      </c>
      <c r="E39" s="285"/>
      <c r="F39" s="263">
        <f>330000+48750+10000+70442.45</f>
        <v>459192.45</v>
      </c>
      <c r="G39" s="286">
        <f>0+34902.57+84689.9+21610.97+20532.33+67641.59+39443.23+27439.42+41617.42+45445.58+(5556.06-5556.06)+75745.98</f>
        <v>459068.99</v>
      </c>
      <c r="H39" s="280"/>
      <c r="I39" s="280">
        <f>-5556.06+5556.06</f>
        <v>0</v>
      </c>
      <c r="J39" s="280">
        <f>G39+I39</f>
        <v>459068.99</v>
      </c>
      <c r="K39" s="280"/>
      <c r="L39" s="281">
        <f t="shared" si="6"/>
        <v>123.46000000002095</v>
      </c>
    </row>
    <row r="40" spans="2:12" ht="15" customHeight="1">
      <c r="B40" s="277" t="s">
        <v>223</v>
      </c>
      <c r="C40" s="278"/>
      <c r="D40" s="261" t="s">
        <v>224</v>
      </c>
      <c r="E40" s="280"/>
      <c r="F40" s="287">
        <f>20000-4800</f>
        <v>15200</v>
      </c>
      <c r="G40" s="263">
        <f>368+10.67+(600+17.33)+(600+15.71)+1815.24+(600+98.54)+(600+61.29)+3354.18</f>
        <v>8140.959999999999</v>
      </c>
      <c r="H40" s="288"/>
      <c r="I40" s="262"/>
      <c r="J40" s="280">
        <f aca="true" t="shared" si="7" ref="J40:J48">G40</f>
        <v>8140.959999999999</v>
      </c>
      <c r="K40" s="280"/>
      <c r="L40" s="281">
        <f t="shared" si="6"/>
        <v>7059.040000000001</v>
      </c>
    </row>
    <row r="41" spans="2:12" ht="15" customHeight="1">
      <c r="B41" s="277" t="s">
        <v>225</v>
      </c>
      <c r="C41" s="278"/>
      <c r="D41" s="261" t="s">
        <v>226</v>
      </c>
      <c r="E41" s="280"/>
      <c r="F41" s="263"/>
      <c r="G41" s="263"/>
      <c r="H41" s="288"/>
      <c r="I41" s="280"/>
      <c r="J41" s="280">
        <f t="shared" si="7"/>
        <v>0</v>
      </c>
      <c r="K41" s="280"/>
      <c r="L41" s="281">
        <f t="shared" si="6"/>
        <v>0</v>
      </c>
    </row>
    <row r="42" spans="2:12" ht="15" customHeight="1">
      <c r="B42" s="277" t="s">
        <v>227</v>
      </c>
      <c r="C42" s="278"/>
      <c r="D42" s="261" t="s">
        <v>228</v>
      </c>
      <c r="E42" s="280"/>
      <c r="F42" s="263"/>
      <c r="G42" s="263"/>
      <c r="H42" s="288"/>
      <c r="I42" s="280"/>
      <c r="J42" s="280">
        <f t="shared" si="7"/>
        <v>0</v>
      </c>
      <c r="K42" s="280"/>
      <c r="L42" s="281">
        <f t="shared" si="6"/>
        <v>0</v>
      </c>
    </row>
    <row r="43" spans="2:12" ht="22.5" customHeight="1">
      <c r="B43" s="277" t="s">
        <v>229</v>
      </c>
      <c r="C43" s="278"/>
      <c r="D43" s="261" t="s">
        <v>230</v>
      </c>
      <c r="E43" s="262"/>
      <c r="F43" s="263">
        <f>6000-200</f>
        <v>5800</v>
      </c>
      <c r="G43" s="263">
        <v>747.5</v>
      </c>
      <c r="H43" s="288"/>
      <c r="I43" s="262"/>
      <c r="J43" s="280">
        <f t="shared" si="7"/>
        <v>747.5</v>
      </c>
      <c r="K43" s="280"/>
      <c r="L43" s="281">
        <f t="shared" si="6"/>
        <v>5052.5</v>
      </c>
    </row>
    <row r="44" spans="2:12" ht="13.5" customHeight="1">
      <c r="B44" s="277" t="s">
        <v>231</v>
      </c>
      <c r="C44" s="278"/>
      <c r="D44" s="261" t="s">
        <v>232</v>
      </c>
      <c r="E44" s="280"/>
      <c r="F44" s="263">
        <f>170000+100000-130000+433</f>
        <v>140433</v>
      </c>
      <c r="G44" s="263">
        <f>0+9500+61880+(9500+452)+23760+15633.9+4785+9422.1</f>
        <v>134933</v>
      </c>
      <c r="H44" s="288"/>
      <c r="I44" s="262"/>
      <c r="J44" s="280">
        <f t="shared" si="7"/>
        <v>134933</v>
      </c>
      <c r="K44" s="280"/>
      <c r="L44" s="281">
        <f t="shared" si="6"/>
        <v>5500</v>
      </c>
    </row>
    <row r="45" spans="2:12" ht="15" customHeight="1">
      <c r="B45" s="277" t="s">
        <v>233</v>
      </c>
      <c r="C45" s="278"/>
      <c r="D45" s="261" t="s">
        <v>234</v>
      </c>
      <c r="E45" s="280"/>
      <c r="F45" s="263">
        <f>207400-6223+100000+78000-25000+80214.94</f>
        <v>434391.94</v>
      </c>
      <c r="G45" s="263">
        <f>0+7500+(6300+7000+10000)+(20000+4500+5000+1300+3500+2852.94+10000)+(1300+5000+4500)+(39600+12500)+17600+(3500+1300+10000)+(5000+10000+7000)+(10000+1300+5000+940)+(10000+60000+80000+19999+7000+5000+1300+10000)+28300</f>
        <v>434091.94</v>
      </c>
      <c r="H45" s="288"/>
      <c r="I45" s="262"/>
      <c r="J45" s="280">
        <f t="shared" si="7"/>
        <v>434091.94</v>
      </c>
      <c r="K45" s="280"/>
      <c r="L45" s="281">
        <f t="shared" si="6"/>
        <v>300</v>
      </c>
    </row>
    <row r="46" spans="2:12" ht="13.5" customHeight="1">
      <c r="B46" s="277" t="s">
        <v>255</v>
      </c>
      <c r="C46" s="278"/>
      <c r="D46" s="261" t="s">
        <v>256</v>
      </c>
      <c r="E46" s="280"/>
      <c r="F46" s="263">
        <f>120000-60000+25000-28965</f>
        <v>56035</v>
      </c>
      <c r="G46" s="263">
        <f>17840+(11458.5+26736.5)</f>
        <v>56035</v>
      </c>
      <c r="H46" s="288"/>
      <c r="I46" s="262"/>
      <c r="J46" s="280">
        <f t="shared" si="7"/>
        <v>56035</v>
      </c>
      <c r="K46" s="280"/>
      <c r="L46" s="281">
        <f t="shared" si="6"/>
        <v>0</v>
      </c>
    </row>
    <row r="47" spans="2:12" ht="16.5" customHeight="1">
      <c r="B47" s="277" t="s">
        <v>257</v>
      </c>
      <c r="C47" s="278"/>
      <c r="D47" s="261" t="s">
        <v>258</v>
      </c>
      <c r="E47" s="280"/>
      <c r="F47" s="263">
        <f>170000-58200+4318</f>
        <v>116118</v>
      </c>
      <c r="G47" s="263">
        <f>0+10000+10000+10000+10000+10000+(10000+10000)+10000+10000+8520+17598</f>
        <v>116118</v>
      </c>
      <c r="H47" s="288"/>
      <c r="I47" s="262"/>
      <c r="J47" s="280">
        <f t="shared" si="7"/>
        <v>116118</v>
      </c>
      <c r="K47" s="280"/>
      <c r="L47" s="281">
        <f t="shared" si="6"/>
        <v>0</v>
      </c>
    </row>
    <row r="48" spans="2:12" ht="24" customHeight="1">
      <c r="B48" s="282" t="s">
        <v>259</v>
      </c>
      <c r="C48" s="248"/>
      <c r="D48" s="289" t="s">
        <v>260</v>
      </c>
      <c r="E48" s="250"/>
      <c r="F48" s="284">
        <f>SUM(F50:F53)</f>
        <v>139767.17</v>
      </c>
      <c r="G48" s="284">
        <f>SUM(G50:G53)</f>
        <v>139767.17</v>
      </c>
      <c r="H48" s="284"/>
      <c r="I48" s="284"/>
      <c r="J48" s="284">
        <f t="shared" si="7"/>
        <v>139767.17</v>
      </c>
      <c r="K48" s="250"/>
      <c r="L48" s="251">
        <f>F48-G48</f>
        <v>0</v>
      </c>
    </row>
    <row r="49" spans="2:12" ht="14.25" customHeight="1">
      <c r="B49" s="277"/>
      <c r="C49" s="278"/>
      <c r="D49" s="279" t="s">
        <v>247</v>
      </c>
      <c r="E49" s="280"/>
      <c r="F49" s="280"/>
      <c r="G49" s="280"/>
      <c r="H49" s="280"/>
      <c r="I49" s="280"/>
      <c r="J49" s="280"/>
      <c r="K49" s="280"/>
      <c r="L49" s="281"/>
    </row>
    <row r="50" spans="2:12" ht="15" customHeight="1">
      <c r="B50" s="277" t="s">
        <v>261</v>
      </c>
      <c r="C50" s="278"/>
      <c r="D50" s="261" t="s">
        <v>262</v>
      </c>
      <c r="E50" s="262"/>
      <c r="F50" s="263">
        <f>2000+10234.17</f>
        <v>12234.17</v>
      </c>
      <c r="G50" s="263">
        <f>1147.35+11086.82</f>
        <v>12234.17</v>
      </c>
      <c r="H50" s="280"/>
      <c r="I50" s="262"/>
      <c r="J50" s="280">
        <f aca="true" t="shared" si="8" ref="J50:J54">G50</f>
        <v>12234.17</v>
      </c>
      <c r="K50" s="280"/>
      <c r="L50" s="281">
        <f aca="true" t="shared" si="9" ref="L50:L52">F50-J50</f>
        <v>0</v>
      </c>
    </row>
    <row r="51" spans="2:12" ht="15" customHeight="1">
      <c r="B51" s="277" t="s">
        <v>261</v>
      </c>
      <c r="C51" s="278"/>
      <c r="D51" s="261" t="s">
        <v>263</v>
      </c>
      <c r="E51" s="262"/>
      <c r="F51" s="263">
        <f>6000-6000</f>
        <v>0</v>
      </c>
      <c r="G51" s="263"/>
      <c r="H51" s="280"/>
      <c r="I51" s="262"/>
      <c r="J51" s="280">
        <f t="shared" si="8"/>
        <v>0</v>
      </c>
      <c r="K51" s="280"/>
      <c r="L51" s="281">
        <f t="shared" si="9"/>
        <v>0</v>
      </c>
    </row>
    <row r="52" spans="2:12" ht="15" customHeight="1">
      <c r="B52" s="277" t="s">
        <v>264</v>
      </c>
      <c r="C52" s="278"/>
      <c r="D52" s="261" t="s">
        <v>265</v>
      </c>
      <c r="E52" s="262"/>
      <c r="F52" s="263">
        <f>2000+136200-13750</f>
        <v>124450</v>
      </c>
      <c r="G52" s="263">
        <f>2000+122200+250</f>
        <v>124450</v>
      </c>
      <c r="H52" s="280"/>
      <c r="I52" s="262"/>
      <c r="J52" s="280">
        <f t="shared" si="8"/>
        <v>124450</v>
      </c>
      <c r="K52" s="280"/>
      <c r="L52" s="281">
        <f t="shared" si="9"/>
        <v>0</v>
      </c>
    </row>
    <row r="53" spans="2:12" ht="13.5" customHeight="1">
      <c r="B53" s="277" t="s">
        <v>266</v>
      </c>
      <c r="C53" s="278"/>
      <c r="D53" s="261" t="s">
        <v>267</v>
      </c>
      <c r="E53" s="280"/>
      <c r="F53" s="263">
        <f>20000-2000-12200-2717</f>
        <v>3083</v>
      </c>
      <c r="G53" s="263">
        <f>765+823+773+722</f>
        <v>3083</v>
      </c>
      <c r="H53" s="280"/>
      <c r="I53" s="262"/>
      <c r="J53" s="280">
        <f t="shared" si="8"/>
        <v>3083</v>
      </c>
      <c r="K53" s="280"/>
      <c r="L53" s="281">
        <f aca="true" t="shared" si="10" ref="L53:L54">F53-G53</f>
        <v>0</v>
      </c>
    </row>
    <row r="54" spans="2:12" ht="13.5" customHeight="1">
      <c r="B54" s="282" t="s">
        <v>268</v>
      </c>
      <c r="C54" s="290"/>
      <c r="D54" s="283" t="s">
        <v>269</v>
      </c>
      <c r="E54" s="284"/>
      <c r="F54" s="284">
        <f>F56</f>
        <v>3800</v>
      </c>
      <c r="G54" s="284">
        <f>G56</f>
        <v>3800</v>
      </c>
      <c r="H54" s="284"/>
      <c r="I54" s="284"/>
      <c r="J54" s="284">
        <f t="shared" si="8"/>
        <v>3800</v>
      </c>
      <c r="K54" s="284"/>
      <c r="L54" s="251">
        <f t="shared" si="10"/>
        <v>0</v>
      </c>
    </row>
    <row r="55" spans="2:12" ht="14.25" customHeight="1">
      <c r="B55" s="277"/>
      <c r="C55" s="278"/>
      <c r="D55" s="279" t="s">
        <v>247</v>
      </c>
      <c r="E55" s="280"/>
      <c r="F55" s="280"/>
      <c r="G55" s="280"/>
      <c r="H55" s="280"/>
      <c r="I55" s="280"/>
      <c r="J55" s="280"/>
      <c r="K55" s="280"/>
      <c r="L55" s="281"/>
    </row>
    <row r="56" spans="2:12" ht="34.5" customHeight="1">
      <c r="B56" s="277" t="s">
        <v>270</v>
      </c>
      <c r="C56" s="278"/>
      <c r="D56" s="261" t="s">
        <v>271</v>
      </c>
      <c r="E56" s="262"/>
      <c r="F56" s="263">
        <f>1900+600+1300</f>
        <v>3800</v>
      </c>
      <c r="G56" s="263">
        <v>3800</v>
      </c>
      <c r="H56" s="280"/>
      <c r="I56" s="262"/>
      <c r="J56" s="280">
        <f aca="true" t="shared" si="11" ref="J56:J57">G56</f>
        <v>3800</v>
      </c>
      <c r="K56" s="280"/>
      <c r="L56" s="281">
        <f>F56-G56</f>
        <v>0</v>
      </c>
    </row>
    <row r="57" spans="2:12" ht="24" customHeight="1">
      <c r="B57" s="271" t="s">
        <v>272</v>
      </c>
      <c r="C57" s="272"/>
      <c r="D57" s="254" t="s">
        <v>273</v>
      </c>
      <c r="E57" s="273"/>
      <c r="F57" s="274">
        <f>F59</f>
        <v>48823</v>
      </c>
      <c r="G57" s="274">
        <f>G59</f>
        <v>48823</v>
      </c>
      <c r="H57" s="275"/>
      <c r="I57" s="275"/>
      <c r="J57" s="274">
        <f t="shared" si="11"/>
        <v>48823</v>
      </c>
      <c r="K57" s="275"/>
      <c r="L57" s="276">
        <f aca="true" t="shared" si="12" ref="L57:L84">F57-J57</f>
        <v>0</v>
      </c>
    </row>
    <row r="58" spans="2:12" ht="15" customHeight="1">
      <c r="B58" s="291"/>
      <c r="C58" s="292"/>
      <c r="D58" s="293" t="s">
        <v>209</v>
      </c>
      <c r="E58" s="294"/>
      <c r="F58" s="295"/>
      <c r="G58" s="295"/>
      <c r="H58" s="295"/>
      <c r="I58" s="295"/>
      <c r="J58" s="296"/>
      <c r="K58" s="295"/>
      <c r="L58" s="297">
        <f t="shared" si="12"/>
        <v>0</v>
      </c>
    </row>
    <row r="59" spans="2:12" ht="33.75" customHeight="1">
      <c r="B59" s="277" t="s">
        <v>274</v>
      </c>
      <c r="C59" s="298"/>
      <c r="D59" s="261" t="s">
        <v>275</v>
      </c>
      <c r="E59" s="299"/>
      <c r="F59" s="263">
        <f>42600+6223</f>
        <v>48823</v>
      </c>
      <c r="G59" s="263">
        <f>0+48823</f>
        <v>48823</v>
      </c>
      <c r="H59" s="280"/>
      <c r="I59" s="262"/>
      <c r="J59" s="280">
        <f aca="true" t="shared" si="13" ref="J59:J60">G59</f>
        <v>48823</v>
      </c>
      <c r="K59" s="280"/>
      <c r="L59" s="281">
        <f t="shared" si="12"/>
        <v>0</v>
      </c>
    </row>
    <row r="60" spans="2:12" ht="24" customHeight="1">
      <c r="B60" s="271" t="s">
        <v>276</v>
      </c>
      <c r="C60" s="272"/>
      <c r="D60" s="254" t="s">
        <v>277</v>
      </c>
      <c r="E60" s="273"/>
      <c r="F60" s="274">
        <f>F62</f>
        <v>105820</v>
      </c>
      <c r="G60" s="274">
        <f>G62</f>
        <v>104205</v>
      </c>
      <c r="H60" s="275"/>
      <c r="I60" s="275"/>
      <c r="J60" s="274">
        <f t="shared" si="13"/>
        <v>104205</v>
      </c>
      <c r="K60" s="275"/>
      <c r="L60" s="276">
        <f t="shared" si="12"/>
        <v>1615</v>
      </c>
    </row>
    <row r="61" spans="2:12" ht="15" customHeight="1">
      <c r="B61" s="291"/>
      <c r="C61" s="292"/>
      <c r="D61" s="293" t="s">
        <v>209</v>
      </c>
      <c r="E61" s="294"/>
      <c r="F61" s="295"/>
      <c r="G61" s="295"/>
      <c r="H61" s="295"/>
      <c r="I61" s="295"/>
      <c r="J61" s="296"/>
      <c r="K61" s="295"/>
      <c r="L61" s="297">
        <f t="shared" si="12"/>
        <v>0</v>
      </c>
    </row>
    <row r="62" spans="2:12" ht="12">
      <c r="B62" s="277" t="s">
        <v>278</v>
      </c>
      <c r="C62" s="298"/>
      <c r="D62" s="261" t="s">
        <v>279</v>
      </c>
      <c r="E62" s="299"/>
      <c r="F62" s="263">
        <f>109100-3280</f>
        <v>105820</v>
      </c>
      <c r="G62" s="263">
        <v>104205</v>
      </c>
      <c r="H62" s="262"/>
      <c r="I62" s="262"/>
      <c r="J62" s="280">
        <f aca="true" t="shared" si="14" ref="J62:J63">G62</f>
        <v>104205</v>
      </c>
      <c r="K62" s="280"/>
      <c r="L62" s="281">
        <f t="shared" si="12"/>
        <v>1615</v>
      </c>
    </row>
    <row r="63" spans="2:12" ht="24" customHeight="1">
      <c r="B63" s="271" t="s">
        <v>280</v>
      </c>
      <c r="C63" s="272"/>
      <c r="D63" s="254" t="s">
        <v>281</v>
      </c>
      <c r="E63" s="273"/>
      <c r="F63" s="274">
        <f>F65</f>
        <v>30000</v>
      </c>
      <c r="G63" s="274">
        <f>G65</f>
        <v>0</v>
      </c>
      <c r="H63" s="275"/>
      <c r="I63" s="275"/>
      <c r="J63" s="274">
        <f t="shared" si="14"/>
        <v>0</v>
      </c>
      <c r="K63" s="275"/>
      <c r="L63" s="276">
        <f t="shared" si="12"/>
        <v>30000</v>
      </c>
    </row>
    <row r="64" spans="2:12" ht="15" customHeight="1">
      <c r="B64" s="291"/>
      <c r="C64" s="292"/>
      <c r="D64" s="293" t="s">
        <v>209</v>
      </c>
      <c r="E64" s="294"/>
      <c r="F64" s="295"/>
      <c r="G64" s="295"/>
      <c r="H64" s="295"/>
      <c r="I64" s="295"/>
      <c r="J64" s="296"/>
      <c r="K64" s="295"/>
      <c r="L64" s="297">
        <f t="shared" si="12"/>
        <v>0</v>
      </c>
    </row>
    <row r="65" spans="2:12" ht="12">
      <c r="B65" s="300" t="s">
        <v>237</v>
      </c>
      <c r="C65" s="298"/>
      <c r="D65" s="261" t="s">
        <v>282</v>
      </c>
      <c r="E65" s="301"/>
      <c r="F65" s="263">
        <v>30000</v>
      </c>
      <c r="G65" s="263"/>
      <c r="H65" s="280"/>
      <c r="I65" s="262"/>
      <c r="J65" s="280">
        <f aca="true" t="shared" si="15" ref="J65:J66">G65</f>
        <v>0</v>
      </c>
      <c r="K65" s="280"/>
      <c r="L65" s="281">
        <f t="shared" si="12"/>
        <v>30000</v>
      </c>
    </row>
    <row r="66" spans="2:12" ht="24" customHeight="1">
      <c r="B66" s="271" t="s">
        <v>283</v>
      </c>
      <c r="C66" s="272"/>
      <c r="D66" s="254" t="s">
        <v>284</v>
      </c>
      <c r="E66" s="273"/>
      <c r="F66" s="274">
        <f>F68</f>
        <v>2400</v>
      </c>
      <c r="G66" s="274">
        <f>G68</f>
        <v>2400</v>
      </c>
      <c r="H66" s="275"/>
      <c r="I66" s="275"/>
      <c r="J66" s="274">
        <f t="shared" si="15"/>
        <v>2400</v>
      </c>
      <c r="K66" s="275"/>
      <c r="L66" s="276">
        <f t="shared" si="12"/>
        <v>0</v>
      </c>
    </row>
    <row r="67" spans="2:12" ht="15" customHeight="1">
      <c r="B67" s="291"/>
      <c r="C67" s="292"/>
      <c r="D67" s="293" t="s">
        <v>209</v>
      </c>
      <c r="E67" s="294"/>
      <c r="F67" s="295"/>
      <c r="G67" s="295"/>
      <c r="H67" s="295"/>
      <c r="I67" s="295"/>
      <c r="J67" s="296"/>
      <c r="K67" s="295"/>
      <c r="L67" s="297">
        <f t="shared" si="12"/>
        <v>0</v>
      </c>
    </row>
    <row r="68" spans="2:12" ht="23.25">
      <c r="B68" s="277" t="s">
        <v>283</v>
      </c>
      <c r="C68" s="298"/>
      <c r="D68" s="261" t="s">
        <v>285</v>
      </c>
      <c r="E68" s="299"/>
      <c r="F68" s="263">
        <f>0+2400</f>
        <v>2400</v>
      </c>
      <c r="G68" s="263">
        <f>0+2400</f>
        <v>2400</v>
      </c>
      <c r="H68" s="262"/>
      <c r="I68" s="262"/>
      <c r="J68" s="280">
        <f aca="true" t="shared" si="16" ref="J68:J69">G68</f>
        <v>2400</v>
      </c>
      <c r="K68" s="280"/>
      <c r="L68" s="281">
        <f t="shared" si="12"/>
        <v>0</v>
      </c>
    </row>
    <row r="69" spans="2:12" ht="24" customHeight="1">
      <c r="B69" s="302" t="s">
        <v>286</v>
      </c>
      <c r="C69" s="303"/>
      <c r="D69" s="304" t="s">
        <v>287</v>
      </c>
      <c r="E69" s="305"/>
      <c r="F69" s="305">
        <f>F71+F72+F73</f>
        <v>70000</v>
      </c>
      <c r="G69" s="305">
        <f>G71+G72+G73</f>
        <v>69999.84</v>
      </c>
      <c r="H69" s="305"/>
      <c r="I69" s="305"/>
      <c r="J69" s="305">
        <f t="shared" si="16"/>
        <v>69999.84</v>
      </c>
      <c r="K69" s="305"/>
      <c r="L69" s="306">
        <f t="shared" si="12"/>
        <v>0.16000000000349246</v>
      </c>
    </row>
    <row r="70" spans="2:12" ht="15.75" customHeight="1">
      <c r="B70" s="291"/>
      <c r="C70" s="307"/>
      <c r="D70" s="293" t="s">
        <v>288</v>
      </c>
      <c r="E70" s="295"/>
      <c r="F70" s="295"/>
      <c r="G70" s="295"/>
      <c r="H70" s="295"/>
      <c r="I70" s="308"/>
      <c r="J70" s="295"/>
      <c r="K70" s="295"/>
      <c r="L70" s="297">
        <f t="shared" si="12"/>
        <v>0</v>
      </c>
    </row>
    <row r="71" spans="2:12" ht="15.75" customHeight="1">
      <c r="B71" s="259" t="s">
        <v>217</v>
      </c>
      <c r="C71" s="278"/>
      <c r="D71" s="261" t="s">
        <v>289</v>
      </c>
      <c r="E71" s="262"/>
      <c r="F71" s="263">
        <f>51000-5316.78</f>
        <v>45683.22</v>
      </c>
      <c r="G71" s="263">
        <f>10440+3380+1400+1980+5000+3923.22+6240+5184+8136</f>
        <v>45683.22</v>
      </c>
      <c r="H71" s="280"/>
      <c r="I71" s="262"/>
      <c r="J71" s="280">
        <f aca="true" t="shared" si="17" ref="J71:J77">G71</f>
        <v>45683.22</v>
      </c>
      <c r="K71" s="280"/>
      <c r="L71" s="281">
        <f t="shared" si="12"/>
        <v>0</v>
      </c>
    </row>
    <row r="72" spans="2:12" ht="15.75" customHeight="1">
      <c r="B72" s="259" t="s">
        <v>290</v>
      </c>
      <c r="C72" s="278"/>
      <c r="D72" s="261" t="s">
        <v>291</v>
      </c>
      <c r="E72" s="262"/>
      <c r="F72" s="263">
        <f>14194-2025.38</f>
        <v>12168.619999999999</v>
      </c>
      <c r="G72" s="263">
        <f>2850.12+922.74+922.74+955.5+955.5+1294.02+955.5+3312.5</f>
        <v>12168.619999999999</v>
      </c>
      <c r="H72" s="280"/>
      <c r="I72" s="262"/>
      <c r="J72" s="280">
        <f t="shared" si="17"/>
        <v>12168.619999999999</v>
      </c>
      <c r="K72" s="280"/>
      <c r="L72" s="281">
        <f t="shared" si="12"/>
        <v>0</v>
      </c>
    </row>
    <row r="73" spans="2:12" s="189" customFormat="1" ht="12.75" customHeight="1">
      <c r="B73" s="277" t="s">
        <v>278</v>
      </c>
      <c r="C73" s="309"/>
      <c r="D73" s="310" t="s">
        <v>292</v>
      </c>
      <c r="E73" s="311"/>
      <c r="F73" s="263">
        <f>2306+2500+7342.16</f>
        <v>12148.16</v>
      </c>
      <c r="G73" s="263">
        <v>12148</v>
      </c>
      <c r="H73" s="311"/>
      <c r="I73" s="262"/>
      <c r="J73" s="312">
        <f t="shared" si="17"/>
        <v>12148</v>
      </c>
      <c r="K73" s="312"/>
      <c r="L73" s="313">
        <f t="shared" si="12"/>
        <v>0.15999999999985448</v>
      </c>
    </row>
    <row r="74" spans="2:12" ht="24.75" customHeight="1">
      <c r="B74" s="302" t="s">
        <v>293</v>
      </c>
      <c r="C74" s="314"/>
      <c r="D74" s="315" t="s">
        <v>294</v>
      </c>
      <c r="E74" s="305"/>
      <c r="F74" s="316">
        <f>F75+F78</f>
        <v>482350</v>
      </c>
      <c r="G74" s="316">
        <f>G75+G78</f>
        <v>232648</v>
      </c>
      <c r="H74" s="305"/>
      <c r="I74" s="305"/>
      <c r="J74" s="316">
        <f t="shared" si="17"/>
        <v>232648</v>
      </c>
      <c r="K74" s="305"/>
      <c r="L74" s="306">
        <f t="shared" si="12"/>
        <v>249702</v>
      </c>
    </row>
    <row r="75" spans="2:12" ht="12.75" customHeight="1">
      <c r="B75" s="242" t="s">
        <v>213</v>
      </c>
      <c r="C75" s="243"/>
      <c r="D75" s="317" t="s">
        <v>295</v>
      </c>
      <c r="E75" s="245"/>
      <c r="F75" s="245">
        <f>F76+F77</f>
        <v>202350</v>
      </c>
      <c r="G75" s="245">
        <f>G76+G77</f>
        <v>102258</v>
      </c>
      <c r="H75" s="245"/>
      <c r="I75" s="245"/>
      <c r="J75" s="245">
        <f t="shared" si="17"/>
        <v>102258</v>
      </c>
      <c r="K75" s="245"/>
      <c r="L75" s="246">
        <f t="shared" si="12"/>
        <v>100092</v>
      </c>
    </row>
    <row r="76" spans="2:12" ht="12.75" customHeight="1">
      <c r="B76" s="247" t="s">
        <v>221</v>
      </c>
      <c r="C76" s="248"/>
      <c r="D76" s="318" t="s">
        <v>296</v>
      </c>
      <c r="E76" s="250"/>
      <c r="F76" s="250">
        <f>F82</f>
        <v>200000</v>
      </c>
      <c r="G76" s="250">
        <f>G82</f>
        <v>99908</v>
      </c>
      <c r="H76" s="250"/>
      <c r="I76" s="250"/>
      <c r="J76" s="250">
        <f t="shared" si="17"/>
        <v>99908</v>
      </c>
      <c r="K76" s="250"/>
      <c r="L76" s="251">
        <f t="shared" si="12"/>
        <v>100092</v>
      </c>
    </row>
    <row r="77" spans="2:12" ht="12.75" customHeight="1">
      <c r="B77" s="247" t="s">
        <v>237</v>
      </c>
      <c r="C77" s="248"/>
      <c r="D77" s="318" t="s">
        <v>297</v>
      </c>
      <c r="E77" s="250"/>
      <c r="F77" s="250">
        <f>F84</f>
        <v>2350</v>
      </c>
      <c r="G77" s="250">
        <f>G84</f>
        <v>2350</v>
      </c>
      <c r="H77" s="250"/>
      <c r="I77" s="250"/>
      <c r="J77" s="250">
        <f t="shared" si="17"/>
        <v>2350</v>
      </c>
      <c r="K77" s="250"/>
      <c r="L77" s="251">
        <f t="shared" si="12"/>
        <v>0</v>
      </c>
    </row>
    <row r="78" spans="2:12" ht="12.75" customHeight="1">
      <c r="B78" s="247" t="s">
        <v>239</v>
      </c>
      <c r="C78" s="248"/>
      <c r="D78" s="318" t="s">
        <v>298</v>
      </c>
      <c r="E78" s="250"/>
      <c r="F78" s="250">
        <f>F83</f>
        <v>280000</v>
      </c>
      <c r="G78" s="250">
        <f>G83</f>
        <v>130390</v>
      </c>
      <c r="H78" s="250"/>
      <c r="I78" s="250"/>
      <c r="J78" s="250"/>
      <c r="K78" s="250"/>
      <c r="L78" s="251">
        <f t="shared" si="12"/>
        <v>280000</v>
      </c>
    </row>
    <row r="79" spans="2:12" s="189" customFormat="1" ht="12.75" customHeight="1">
      <c r="B79" s="277"/>
      <c r="C79" s="278"/>
      <c r="D79" s="319" t="s">
        <v>288</v>
      </c>
      <c r="E79" s="280"/>
      <c r="F79" s="320"/>
      <c r="G79" s="320"/>
      <c r="H79" s="280"/>
      <c r="I79" s="280"/>
      <c r="J79" s="320"/>
      <c r="K79" s="280"/>
      <c r="L79" s="281">
        <f t="shared" si="12"/>
        <v>0</v>
      </c>
    </row>
    <row r="80" spans="2:12" ht="24.75" customHeight="1">
      <c r="B80" s="271" t="s">
        <v>299</v>
      </c>
      <c r="C80" s="321"/>
      <c r="D80" s="322" t="s">
        <v>300</v>
      </c>
      <c r="E80" s="275"/>
      <c r="F80" s="323">
        <f>SUM(F82:F84)</f>
        <v>482350</v>
      </c>
      <c r="G80" s="323">
        <f>SUM(G82:G84)</f>
        <v>232648</v>
      </c>
      <c r="H80" s="275"/>
      <c r="I80" s="275"/>
      <c r="J80" s="323">
        <f>G80</f>
        <v>232648</v>
      </c>
      <c r="K80" s="275"/>
      <c r="L80" s="276">
        <f t="shared" si="12"/>
        <v>249702</v>
      </c>
    </row>
    <row r="81" spans="2:12" s="189" customFormat="1" ht="12.75" customHeight="1">
      <c r="B81" s="277"/>
      <c r="C81" s="278"/>
      <c r="D81" s="319" t="s">
        <v>288</v>
      </c>
      <c r="E81" s="280"/>
      <c r="F81" s="320"/>
      <c r="G81" s="320"/>
      <c r="H81" s="280"/>
      <c r="I81" s="280"/>
      <c r="J81" s="320"/>
      <c r="K81" s="280"/>
      <c r="L81" s="281">
        <f t="shared" si="12"/>
        <v>0</v>
      </c>
    </row>
    <row r="82" spans="2:12" s="189" customFormat="1" ht="12.75" customHeight="1">
      <c r="B82" s="277" t="s">
        <v>301</v>
      </c>
      <c r="C82" s="278"/>
      <c r="D82" s="324" t="s">
        <v>302</v>
      </c>
      <c r="E82" s="280"/>
      <c r="F82" s="263">
        <f>18000+182000</f>
        <v>200000</v>
      </c>
      <c r="G82" s="263">
        <f>29972.4+69935.6</f>
        <v>99908</v>
      </c>
      <c r="H82" s="299"/>
      <c r="I82" s="262"/>
      <c r="J82" s="280">
        <f aca="true" t="shared" si="18" ref="J82:J88">G82</f>
        <v>99908</v>
      </c>
      <c r="K82" s="280"/>
      <c r="L82" s="281">
        <f t="shared" si="12"/>
        <v>100092</v>
      </c>
    </row>
    <row r="83" spans="2:12" s="189" customFormat="1" ht="12.75" customHeight="1">
      <c r="B83" s="277" t="s">
        <v>303</v>
      </c>
      <c r="C83" s="278"/>
      <c r="D83" s="324" t="s">
        <v>304</v>
      </c>
      <c r="E83" s="280"/>
      <c r="F83" s="263">
        <f>30000+250000</f>
        <v>280000</v>
      </c>
      <c r="G83" s="263">
        <f>5877+9113+46380+69020</f>
        <v>130390</v>
      </c>
      <c r="H83" s="299"/>
      <c r="I83" s="262"/>
      <c r="J83" s="280">
        <f t="shared" si="18"/>
        <v>130390</v>
      </c>
      <c r="K83" s="280"/>
      <c r="L83" s="281">
        <f t="shared" si="12"/>
        <v>149610</v>
      </c>
    </row>
    <row r="84" spans="2:12" ht="15" customHeight="1">
      <c r="B84" s="277" t="s">
        <v>261</v>
      </c>
      <c r="C84" s="278"/>
      <c r="D84" s="261" t="s">
        <v>305</v>
      </c>
      <c r="E84" s="262"/>
      <c r="F84" s="263">
        <f>0+2350</f>
        <v>2350</v>
      </c>
      <c r="G84" s="263">
        <v>2350</v>
      </c>
      <c r="H84" s="268"/>
      <c r="I84" s="268"/>
      <c r="J84" s="325">
        <f t="shared" si="18"/>
        <v>2350</v>
      </c>
      <c r="K84" s="280"/>
      <c r="L84" s="281">
        <f t="shared" si="12"/>
        <v>0</v>
      </c>
    </row>
    <row r="85" spans="2:12" s="189" customFormat="1" ht="12.75" customHeight="1">
      <c r="B85" s="302" t="s">
        <v>306</v>
      </c>
      <c r="C85" s="314"/>
      <c r="D85" s="315" t="s">
        <v>307</v>
      </c>
      <c r="E85" s="326"/>
      <c r="F85" s="305">
        <f>F90+F95</f>
        <v>1555000</v>
      </c>
      <c r="G85" s="305">
        <f>G90+G95</f>
        <v>1203626.44</v>
      </c>
      <c r="H85" s="240"/>
      <c r="I85" s="240"/>
      <c r="J85" s="316">
        <f t="shared" si="18"/>
        <v>1203626.44</v>
      </c>
      <c r="K85" s="326"/>
      <c r="L85" s="306">
        <f>F85-G85</f>
        <v>351373.56000000006</v>
      </c>
    </row>
    <row r="86" spans="2:12" ht="12.75" customHeight="1">
      <c r="B86" s="242" t="s">
        <v>213</v>
      </c>
      <c r="C86" s="243"/>
      <c r="D86" s="317" t="s">
        <v>308</v>
      </c>
      <c r="E86" s="245"/>
      <c r="F86" s="245">
        <f>F87</f>
        <v>769500</v>
      </c>
      <c r="G86" s="245">
        <f>G87</f>
        <v>707976.44</v>
      </c>
      <c r="H86" s="245"/>
      <c r="I86" s="245"/>
      <c r="J86" s="245">
        <f t="shared" si="18"/>
        <v>707976.44</v>
      </c>
      <c r="K86" s="245"/>
      <c r="L86" s="246">
        <f aca="true" t="shared" si="19" ref="L86:L88">F86-J86</f>
        <v>61523.560000000056</v>
      </c>
    </row>
    <row r="87" spans="2:12" ht="12.75" customHeight="1">
      <c r="B87" s="247" t="s">
        <v>221</v>
      </c>
      <c r="C87" s="248"/>
      <c r="D87" s="318" t="s">
        <v>309</v>
      </c>
      <c r="E87" s="250"/>
      <c r="F87" s="250">
        <f>F92+F97</f>
        <v>769500</v>
      </c>
      <c r="G87" s="250">
        <f>G92+G97</f>
        <v>707976.44</v>
      </c>
      <c r="H87" s="250"/>
      <c r="I87" s="250"/>
      <c r="J87" s="250">
        <f t="shared" si="18"/>
        <v>707976.44</v>
      </c>
      <c r="K87" s="250"/>
      <c r="L87" s="251">
        <f t="shared" si="19"/>
        <v>61523.560000000056</v>
      </c>
    </row>
    <row r="88" spans="2:12" ht="12.75" customHeight="1">
      <c r="B88" s="247" t="s">
        <v>237</v>
      </c>
      <c r="C88" s="248"/>
      <c r="D88" s="318" t="s">
        <v>310</v>
      </c>
      <c r="E88" s="250"/>
      <c r="F88" s="250">
        <f>F98</f>
        <v>0</v>
      </c>
      <c r="G88" s="250">
        <f>G98</f>
        <v>0</v>
      </c>
      <c r="H88" s="250"/>
      <c r="I88" s="250"/>
      <c r="J88" s="250">
        <f t="shared" si="18"/>
        <v>0</v>
      </c>
      <c r="K88" s="250"/>
      <c r="L88" s="251">
        <f t="shared" si="19"/>
        <v>0</v>
      </c>
    </row>
    <row r="89" spans="2:12" s="189" customFormat="1" ht="12.75" customHeight="1">
      <c r="B89" s="327"/>
      <c r="C89" s="328"/>
      <c r="D89" s="329" t="s">
        <v>288</v>
      </c>
      <c r="E89" s="330"/>
      <c r="F89" s="330" t="s">
        <v>210</v>
      </c>
      <c r="G89" s="330"/>
      <c r="H89" s="330"/>
      <c r="I89" s="330"/>
      <c r="J89" s="330"/>
      <c r="K89" s="330"/>
      <c r="L89" s="331"/>
    </row>
    <row r="90" spans="2:12" s="189" customFormat="1" ht="12.75" customHeight="1">
      <c r="B90" s="271" t="s">
        <v>311</v>
      </c>
      <c r="C90" s="321"/>
      <c r="D90" s="322" t="s">
        <v>312</v>
      </c>
      <c r="E90" s="332"/>
      <c r="F90" s="275">
        <f>F92+F93+F94</f>
        <v>1350000</v>
      </c>
      <c r="G90" s="275">
        <f>G92+G93+G94</f>
        <v>1058626.44</v>
      </c>
      <c r="H90" s="275"/>
      <c r="I90" s="275"/>
      <c r="J90" s="275">
        <f>J92+J93</f>
        <v>562976.44</v>
      </c>
      <c r="K90" s="275"/>
      <c r="L90" s="276">
        <f>F90-G90</f>
        <v>291373.56000000006</v>
      </c>
    </row>
    <row r="91" spans="2:12" s="189" customFormat="1" ht="12.75" customHeight="1">
      <c r="B91" s="291"/>
      <c r="C91" s="307"/>
      <c r="D91" s="333" t="s">
        <v>288</v>
      </c>
      <c r="E91" s="295"/>
      <c r="F91" s="295" t="s">
        <v>210</v>
      </c>
      <c r="G91" s="295"/>
      <c r="H91" s="295"/>
      <c r="I91" s="295"/>
      <c r="J91" s="295"/>
      <c r="K91" s="295"/>
      <c r="L91" s="297"/>
    </row>
    <row r="92" spans="2:12" s="189" customFormat="1" ht="12.75" customHeight="1">
      <c r="B92" s="259" t="s">
        <v>231</v>
      </c>
      <c r="C92" s="334"/>
      <c r="D92" s="310" t="s">
        <v>313</v>
      </c>
      <c r="E92" s="311"/>
      <c r="F92" s="335">
        <f>1500000-785000-197500+47000</f>
        <v>564500</v>
      </c>
      <c r="G92" s="335">
        <f>0+18000+42000+99571.94+202864.26+65250+135290.24</f>
        <v>562976.44</v>
      </c>
      <c r="H92" s="311"/>
      <c r="I92" s="262"/>
      <c r="J92" s="336">
        <f aca="true" t="shared" si="20" ref="J92:J95">G92</f>
        <v>562976.44</v>
      </c>
      <c r="K92" s="336"/>
      <c r="L92" s="337">
        <f>F92-G92</f>
        <v>1523.5600000000559</v>
      </c>
    </row>
    <row r="93" spans="2:12" s="189" customFormat="1" ht="12.75" customHeight="1">
      <c r="B93" s="338" t="s">
        <v>301</v>
      </c>
      <c r="C93" s="278"/>
      <c r="D93" s="310" t="s">
        <v>314</v>
      </c>
      <c r="E93" s="262"/>
      <c r="F93" s="263">
        <f>700000-205000-60000-400000</f>
        <v>35000</v>
      </c>
      <c r="G93" s="263"/>
      <c r="H93" s="262"/>
      <c r="I93" s="280"/>
      <c r="J93" s="280">
        <f t="shared" si="20"/>
        <v>0</v>
      </c>
      <c r="K93" s="280"/>
      <c r="L93" s="281">
        <f aca="true" t="shared" si="21" ref="L93:L95">F93-J93</f>
        <v>35000</v>
      </c>
    </row>
    <row r="94" spans="2:12" s="189" customFormat="1" ht="12.75" customHeight="1">
      <c r="B94" s="277" t="s">
        <v>278</v>
      </c>
      <c r="C94" s="278"/>
      <c r="D94" s="310" t="s">
        <v>315</v>
      </c>
      <c r="E94" s="262"/>
      <c r="F94" s="263">
        <f>(200000+197500)+353000</f>
        <v>750500</v>
      </c>
      <c r="G94" s="263">
        <f>98900+(322875-65250)+139125</f>
        <v>495650</v>
      </c>
      <c r="H94" s="262"/>
      <c r="I94" s="262"/>
      <c r="J94" s="280">
        <f t="shared" si="20"/>
        <v>495650</v>
      </c>
      <c r="K94" s="280"/>
      <c r="L94" s="281">
        <f t="shared" si="21"/>
        <v>254850</v>
      </c>
    </row>
    <row r="95" spans="2:12" s="189" customFormat="1" ht="56.25" customHeight="1">
      <c r="B95" s="271" t="s">
        <v>316</v>
      </c>
      <c r="C95" s="339"/>
      <c r="D95" s="322" t="s">
        <v>317</v>
      </c>
      <c r="E95" s="275"/>
      <c r="F95" s="275">
        <f>SUM(F97:F98)</f>
        <v>205000</v>
      </c>
      <c r="G95" s="275">
        <f>SUM(G97:G98)</f>
        <v>145000</v>
      </c>
      <c r="H95" s="275"/>
      <c r="I95" s="275"/>
      <c r="J95" s="275">
        <f t="shared" si="20"/>
        <v>145000</v>
      </c>
      <c r="K95" s="275"/>
      <c r="L95" s="276">
        <f t="shared" si="21"/>
        <v>60000</v>
      </c>
    </row>
    <row r="96" spans="2:12" s="189" customFormat="1" ht="12.75" customHeight="1">
      <c r="B96" s="291"/>
      <c r="C96" s="307"/>
      <c r="D96" s="333" t="s">
        <v>288</v>
      </c>
      <c r="E96" s="295"/>
      <c r="F96" s="295" t="s">
        <v>210</v>
      </c>
      <c r="G96" s="295"/>
      <c r="H96" s="295"/>
      <c r="I96" s="295"/>
      <c r="J96" s="295"/>
      <c r="K96" s="295"/>
      <c r="L96" s="297"/>
    </row>
    <row r="97" spans="2:12" s="189" customFormat="1" ht="12.75" customHeight="1">
      <c r="B97" s="338" t="s">
        <v>301</v>
      </c>
      <c r="C97" s="278"/>
      <c r="D97" s="324" t="s">
        <v>318</v>
      </c>
      <c r="E97" s="280"/>
      <c r="F97" s="263">
        <f>140000+5000+60000</f>
        <v>205000</v>
      </c>
      <c r="G97" s="263">
        <f>28500+66500+40000+10000</f>
        <v>145000</v>
      </c>
      <c r="H97" s="262"/>
      <c r="I97" s="262"/>
      <c r="J97" s="280">
        <f aca="true" t="shared" si="22" ref="J97:J108">G97</f>
        <v>145000</v>
      </c>
      <c r="K97" s="280"/>
      <c r="L97" s="281">
        <f aca="true" t="shared" si="23" ref="L97:L101">F97-J97</f>
        <v>60000</v>
      </c>
    </row>
    <row r="98" spans="2:12" s="189" customFormat="1" ht="12.75" customHeight="1">
      <c r="B98" s="300" t="s">
        <v>237</v>
      </c>
      <c r="C98" s="309"/>
      <c r="D98" s="310" t="s">
        <v>319</v>
      </c>
      <c r="E98" s="312"/>
      <c r="F98" s="335"/>
      <c r="G98" s="335"/>
      <c r="H98" s="312"/>
      <c r="I98" s="312"/>
      <c r="J98" s="312">
        <f t="shared" si="22"/>
        <v>0</v>
      </c>
      <c r="K98" s="312"/>
      <c r="L98" s="313">
        <f t="shared" si="23"/>
        <v>0</v>
      </c>
    </row>
    <row r="99" spans="2:12" s="189" customFormat="1" ht="25.5" customHeight="1">
      <c r="B99" s="302" t="s">
        <v>320</v>
      </c>
      <c r="C99" s="314"/>
      <c r="D99" s="315" t="s">
        <v>321</v>
      </c>
      <c r="E99" s="305"/>
      <c r="F99" s="316">
        <f>F110+F115</f>
        <v>2802800</v>
      </c>
      <c r="G99" s="316">
        <f>G110+G115</f>
        <v>961658.1299999999</v>
      </c>
      <c r="H99" s="305"/>
      <c r="I99" s="305"/>
      <c r="J99" s="316">
        <f t="shared" si="22"/>
        <v>961658.1299999999</v>
      </c>
      <c r="K99" s="305"/>
      <c r="L99" s="340">
        <f t="shared" si="23"/>
        <v>1841141.87</v>
      </c>
    </row>
    <row r="100" spans="2:12" ht="15" customHeight="1">
      <c r="B100" s="242" t="s">
        <v>213</v>
      </c>
      <c r="C100" s="243"/>
      <c r="D100" s="317" t="s">
        <v>322</v>
      </c>
      <c r="E100" s="245"/>
      <c r="F100" s="245">
        <f>F101+F105</f>
        <v>1588600</v>
      </c>
      <c r="G100" s="245">
        <f>G101+G105</f>
        <v>783048.1299999999</v>
      </c>
      <c r="H100" s="245"/>
      <c r="I100" s="245"/>
      <c r="J100" s="245">
        <f t="shared" si="22"/>
        <v>783048.1299999999</v>
      </c>
      <c r="K100" s="245"/>
      <c r="L100" s="246">
        <f t="shared" si="23"/>
        <v>805551.8700000001</v>
      </c>
    </row>
    <row r="101" spans="2:12" ht="15" customHeight="1">
      <c r="B101" s="247" t="s">
        <v>221</v>
      </c>
      <c r="C101" s="248"/>
      <c r="D101" s="318" t="s">
        <v>323</v>
      </c>
      <c r="E101" s="250"/>
      <c r="F101" s="250">
        <f>F102+F103+F104</f>
        <v>1588000</v>
      </c>
      <c r="G101" s="250">
        <f>G102+G103+G104</f>
        <v>783048.1299999999</v>
      </c>
      <c r="H101" s="250"/>
      <c r="I101" s="250"/>
      <c r="J101" s="250">
        <f t="shared" si="22"/>
        <v>783048.1299999999</v>
      </c>
      <c r="K101" s="250"/>
      <c r="L101" s="251">
        <f t="shared" si="23"/>
        <v>804951.8700000001</v>
      </c>
    </row>
    <row r="102" spans="2:12" ht="15" customHeight="1">
      <c r="B102" s="247" t="s">
        <v>227</v>
      </c>
      <c r="C102" s="248"/>
      <c r="D102" s="318" t="s">
        <v>324</v>
      </c>
      <c r="E102" s="250"/>
      <c r="F102" s="250">
        <f>F119</f>
        <v>135000</v>
      </c>
      <c r="G102" s="250">
        <f>G119</f>
        <v>104051.07</v>
      </c>
      <c r="H102" s="250"/>
      <c r="I102" s="250"/>
      <c r="J102" s="250">
        <f t="shared" si="22"/>
        <v>104051.07</v>
      </c>
      <c r="K102" s="250"/>
      <c r="L102" s="251">
        <f>F102-G102</f>
        <v>30948.929999999993</v>
      </c>
    </row>
    <row r="103" spans="2:12" ht="12.75" customHeight="1">
      <c r="B103" s="247" t="s">
        <v>231</v>
      </c>
      <c r="C103" s="248"/>
      <c r="D103" s="318" t="s">
        <v>325</v>
      </c>
      <c r="E103" s="250"/>
      <c r="F103" s="250">
        <f>F112+F136</f>
        <v>893000</v>
      </c>
      <c r="G103" s="250">
        <f>G112+G136</f>
        <v>570997.0599999999</v>
      </c>
      <c r="H103" s="250"/>
      <c r="I103" s="250"/>
      <c r="J103" s="250">
        <f t="shared" si="22"/>
        <v>570997.0599999999</v>
      </c>
      <c r="K103" s="250"/>
      <c r="L103" s="251">
        <f aca="true" t="shared" si="24" ref="L103:L110">F103-J103</f>
        <v>322002.94000000006</v>
      </c>
    </row>
    <row r="104" spans="2:12" ht="12.75" customHeight="1">
      <c r="B104" s="247" t="s">
        <v>301</v>
      </c>
      <c r="C104" s="248"/>
      <c r="D104" s="318" t="s">
        <v>326</v>
      </c>
      <c r="E104" s="250"/>
      <c r="F104" s="250">
        <f>F121+F126+F131+F137</f>
        <v>560000</v>
      </c>
      <c r="G104" s="250">
        <f>G121+G126+G131+G137</f>
        <v>108000</v>
      </c>
      <c r="H104" s="250"/>
      <c r="I104" s="250"/>
      <c r="J104" s="250">
        <f t="shared" si="22"/>
        <v>108000</v>
      </c>
      <c r="K104" s="250"/>
      <c r="L104" s="251">
        <f t="shared" si="24"/>
        <v>452000</v>
      </c>
    </row>
    <row r="105" spans="2:12" ht="12.75" customHeight="1">
      <c r="B105" s="247" t="s">
        <v>237</v>
      </c>
      <c r="C105" s="248"/>
      <c r="D105" s="318" t="s">
        <v>327</v>
      </c>
      <c r="E105" s="250"/>
      <c r="F105" s="250">
        <f>F143</f>
        <v>600</v>
      </c>
      <c r="G105" s="250">
        <f>G143</f>
        <v>0</v>
      </c>
      <c r="H105" s="250"/>
      <c r="I105" s="250"/>
      <c r="J105" s="250">
        <f t="shared" si="22"/>
        <v>0</v>
      </c>
      <c r="K105" s="250"/>
      <c r="L105" s="251">
        <f t="shared" si="24"/>
        <v>600</v>
      </c>
    </row>
    <row r="106" spans="2:12" ht="12.75" customHeight="1">
      <c r="B106" s="247" t="s">
        <v>239</v>
      </c>
      <c r="C106" s="248"/>
      <c r="D106" s="318" t="s">
        <v>328</v>
      </c>
      <c r="E106" s="250"/>
      <c r="F106" s="250">
        <f>F107+F108</f>
        <v>1111200</v>
      </c>
      <c r="G106" s="250">
        <f>G107+G108</f>
        <v>81960</v>
      </c>
      <c r="H106" s="250"/>
      <c r="I106" s="250"/>
      <c r="J106" s="250">
        <f t="shared" si="22"/>
        <v>81960</v>
      </c>
      <c r="K106" s="250"/>
      <c r="L106" s="251">
        <f t="shared" si="24"/>
        <v>1029240</v>
      </c>
    </row>
    <row r="107" spans="2:12" ht="12.75" customHeight="1">
      <c r="B107" s="247" t="s">
        <v>303</v>
      </c>
      <c r="C107" s="248"/>
      <c r="D107" s="318" t="s">
        <v>329</v>
      </c>
      <c r="E107" s="250"/>
      <c r="F107" s="250">
        <f>F139</f>
        <v>85000</v>
      </c>
      <c r="G107" s="250">
        <f>G139</f>
        <v>81960</v>
      </c>
      <c r="H107" s="250"/>
      <c r="I107" s="250"/>
      <c r="J107" s="250">
        <f t="shared" si="22"/>
        <v>81960</v>
      </c>
      <c r="K107" s="250"/>
      <c r="L107" s="251">
        <f t="shared" si="24"/>
        <v>3040</v>
      </c>
    </row>
    <row r="108" spans="2:12" ht="13.5" customHeight="1">
      <c r="B108" s="247" t="s">
        <v>278</v>
      </c>
      <c r="C108" s="341"/>
      <c r="D108" s="342" t="s">
        <v>330</v>
      </c>
      <c r="E108" s="343"/>
      <c r="F108" s="343">
        <f>F128+F133+F140</f>
        <v>1026200</v>
      </c>
      <c r="G108" s="343">
        <f>G128+G133+G140</f>
        <v>0</v>
      </c>
      <c r="H108" s="343"/>
      <c r="I108" s="343"/>
      <c r="J108" s="343">
        <f t="shared" si="22"/>
        <v>0</v>
      </c>
      <c r="K108" s="343"/>
      <c r="L108" s="344">
        <f t="shared" si="24"/>
        <v>1026200</v>
      </c>
    </row>
    <row r="109" spans="2:12" ht="13.5" customHeight="1">
      <c r="B109" s="277"/>
      <c r="C109" s="278"/>
      <c r="D109" s="319" t="s">
        <v>209</v>
      </c>
      <c r="E109" s="280"/>
      <c r="F109" s="320"/>
      <c r="G109" s="320"/>
      <c r="H109" s="280"/>
      <c r="I109" s="280"/>
      <c r="J109" s="320"/>
      <c r="K109" s="280"/>
      <c r="L109" s="281">
        <f t="shared" si="24"/>
        <v>0</v>
      </c>
    </row>
    <row r="110" spans="2:12" ht="13.5" customHeight="1">
      <c r="B110" s="271" t="s">
        <v>331</v>
      </c>
      <c r="C110" s="321"/>
      <c r="D110" s="322" t="s">
        <v>332</v>
      </c>
      <c r="E110" s="275"/>
      <c r="F110" s="275">
        <f>SUM(F112:F114)</f>
        <v>906000</v>
      </c>
      <c r="G110" s="275">
        <f>SUM(G112:G114)</f>
        <v>583761.0599999999</v>
      </c>
      <c r="H110" s="275"/>
      <c r="I110" s="275"/>
      <c r="J110" s="275">
        <f>G110</f>
        <v>583761.0599999999</v>
      </c>
      <c r="K110" s="275"/>
      <c r="L110" s="276">
        <f t="shared" si="24"/>
        <v>322238.94000000006</v>
      </c>
    </row>
    <row r="111" spans="2:12" ht="13.5" customHeight="1">
      <c r="B111" s="277"/>
      <c r="C111" s="278"/>
      <c r="D111" s="319" t="s">
        <v>209</v>
      </c>
      <c r="E111" s="280"/>
      <c r="F111" s="320"/>
      <c r="G111" s="320"/>
      <c r="H111" s="280"/>
      <c r="I111" s="280"/>
      <c r="J111" s="320"/>
      <c r="K111" s="280"/>
      <c r="L111" s="281"/>
    </row>
    <row r="112" spans="2:12" ht="13.5" customHeight="1">
      <c r="B112" s="259" t="s">
        <v>231</v>
      </c>
      <c r="C112" s="260"/>
      <c r="D112" s="324" t="s">
        <v>333</v>
      </c>
      <c r="E112" s="262"/>
      <c r="F112" s="263">
        <f>145000+358000+300000</f>
        <v>803000</v>
      </c>
      <c r="G112" s="263">
        <f>0+0+0+0+(25056+6336+3744+1468.8)+(99795.78+7309.44+26347.75)+29233+47276.91+51169.44+108871.34+80502.6</f>
        <v>487111.05999999994</v>
      </c>
      <c r="H112" s="288"/>
      <c r="I112" s="262"/>
      <c r="J112" s="280">
        <f aca="true" t="shared" si="25" ref="J112:J113">G112</f>
        <v>487111.05999999994</v>
      </c>
      <c r="K112" s="280"/>
      <c r="L112" s="281">
        <f aca="true" t="shared" si="26" ref="L112:L113">F112-J112</f>
        <v>315888.94000000006</v>
      </c>
    </row>
    <row r="113" spans="2:12" ht="13.5" customHeight="1">
      <c r="B113" s="338" t="s">
        <v>301</v>
      </c>
      <c r="C113" s="260"/>
      <c r="D113" s="324" t="s">
        <v>334</v>
      </c>
      <c r="E113" s="262"/>
      <c r="F113" s="263">
        <v>1000</v>
      </c>
      <c r="G113" s="263">
        <f>0+650</f>
        <v>650</v>
      </c>
      <c r="H113" s="288"/>
      <c r="I113" s="262"/>
      <c r="J113" s="280">
        <f t="shared" si="25"/>
        <v>650</v>
      </c>
      <c r="K113" s="280"/>
      <c r="L113" s="281">
        <f t="shared" si="26"/>
        <v>350</v>
      </c>
    </row>
    <row r="114" spans="2:12" ht="13.5" customHeight="1">
      <c r="B114" s="277" t="s">
        <v>303</v>
      </c>
      <c r="C114" s="278"/>
      <c r="D114" s="324" t="s">
        <v>335</v>
      </c>
      <c r="E114" s="345"/>
      <c r="F114" s="346">
        <f>25000+25000+46000+6000</f>
        <v>102000</v>
      </c>
      <c r="G114" s="346">
        <f>28800+67200</f>
        <v>96000</v>
      </c>
      <c r="H114" s="347"/>
      <c r="I114" s="268"/>
      <c r="J114" s="330"/>
      <c r="K114" s="330"/>
      <c r="L114" s="331"/>
    </row>
    <row r="115" spans="2:12" ht="13.5" customHeight="1">
      <c r="B115" s="271" t="s">
        <v>336</v>
      </c>
      <c r="C115" s="321"/>
      <c r="D115" s="322" t="s">
        <v>337</v>
      </c>
      <c r="E115" s="332"/>
      <c r="F115" s="275">
        <f>F117+F124+F129+F134+F141</f>
        <v>1896800</v>
      </c>
      <c r="G115" s="275">
        <f>G117+G124+G129+G134+G141</f>
        <v>377897.07</v>
      </c>
      <c r="H115" s="348"/>
      <c r="I115" s="348"/>
      <c r="J115" s="332">
        <f>G115</f>
        <v>377897.07</v>
      </c>
      <c r="K115" s="332"/>
      <c r="L115" s="276">
        <f>F115-J115</f>
        <v>1518902.93</v>
      </c>
    </row>
    <row r="116" spans="2:12" ht="13.5" customHeight="1">
      <c r="B116" s="277"/>
      <c r="C116" s="278"/>
      <c r="D116" s="319" t="s">
        <v>209</v>
      </c>
      <c r="E116" s="280"/>
      <c r="F116" s="320"/>
      <c r="G116" s="320"/>
      <c r="H116" s="280"/>
      <c r="I116" s="280"/>
      <c r="J116" s="320"/>
      <c r="K116" s="280"/>
      <c r="L116" s="281"/>
    </row>
    <row r="117" spans="2:12" ht="13.5" customHeight="1">
      <c r="B117" s="282" t="s">
        <v>338</v>
      </c>
      <c r="C117" s="290"/>
      <c r="D117" s="349" t="s">
        <v>339</v>
      </c>
      <c r="E117" s="284"/>
      <c r="F117" s="350">
        <f>SUM(F119:F123)</f>
        <v>135000</v>
      </c>
      <c r="G117" s="350">
        <f>SUM(G119:G123)</f>
        <v>104051.07</v>
      </c>
      <c r="H117" s="284"/>
      <c r="I117" s="284"/>
      <c r="J117" s="350">
        <f>G117</f>
        <v>104051.07</v>
      </c>
      <c r="K117" s="284"/>
      <c r="L117" s="251">
        <f aca="true" t="shared" si="27" ref="L117:L118">F117-J117</f>
        <v>30948.929999999993</v>
      </c>
    </row>
    <row r="118" spans="2:12" ht="13.5" customHeight="1">
      <c r="B118" s="277"/>
      <c r="C118" s="278"/>
      <c r="D118" s="319" t="s">
        <v>209</v>
      </c>
      <c r="E118" s="280"/>
      <c r="F118" s="320"/>
      <c r="G118" s="320"/>
      <c r="H118" s="280"/>
      <c r="I118" s="280"/>
      <c r="J118" s="320"/>
      <c r="K118" s="280"/>
      <c r="L118" s="281">
        <f t="shared" si="27"/>
        <v>0</v>
      </c>
    </row>
    <row r="119" spans="2:12" ht="13.5" customHeight="1">
      <c r="B119" s="277" t="s">
        <v>227</v>
      </c>
      <c r="C119" s="278"/>
      <c r="D119" s="324" t="s">
        <v>340</v>
      </c>
      <c r="E119" s="280"/>
      <c r="F119" s="263">
        <v>135000</v>
      </c>
      <c r="G119" s="263">
        <f>0+25136.18+7345.51+(9806.71+3004.99+4006.64)+(424.6+2157.48+2876.63)+2028.07+6945.08+6075.66+10874.97+8182.64+7653.09+7532.82</f>
        <v>104051.07</v>
      </c>
      <c r="H119" s="288"/>
      <c r="I119" s="262"/>
      <c r="J119" s="280">
        <f>G119</f>
        <v>104051.07</v>
      </c>
      <c r="K119" s="280"/>
      <c r="L119" s="281">
        <f aca="true" t="shared" si="28" ref="L119:L120">F119-G119</f>
        <v>30948.929999999993</v>
      </c>
    </row>
    <row r="120" spans="2:12" ht="13.5" customHeight="1">
      <c r="B120" s="259" t="s">
        <v>231</v>
      </c>
      <c r="C120" s="278"/>
      <c r="D120" s="324" t="s">
        <v>341</v>
      </c>
      <c r="E120" s="280"/>
      <c r="F120" s="263"/>
      <c r="G120" s="263"/>
      <c r="H120" s="288"/>
      <c r="I120" s="262"/>
      <c r="J120" s="280"/>
      <c r="K120" s="280"/>
      <c r="L120" s="281">
        <f t="shared" si="28"/>
        <v>0</v>
      </c>
    </row>
    <row r="121" spans="2:12" ht="13.5" customHeight="1">
      <c r="B121" s="277" t="s">
        <v>301</v>
      </c>
      <c r="C121" s="278"/>
      <c r="D121" s="324" t="s">
        <v>342</v>
      </c>
      <c r="E121" s="280"/>
      <c r="F121" s="263"/>
      <c r="G121" s="263"/>
      <c r="H121" s="288"/>
      <c r="I121" s="262"/>
      <c r="J121" s="280">
        <f aca="true" t="shared" si="29" ref="J121:J124">G121</f>
        <v>0</v>
      </c>
      <c r="K121" s="280"/>
      <c r="L121" s="281">
        <f aca="true" t="shared" si="30" ref="L121:L131">F121-J121</f>
        <v>0</v>
      </c>
    </row>
    <row r="122" spans="2:12" ht="13.5" customHeight="1">
      <c r="B122" s="277" t="s">
        <v>303</v>
      </c>
      <c r="C122" s="278"/>
      <c r="D122" s="324" t="s">
        <v>343</v>
      </c>
      <c r="E122" s="280"/>
      <c r="F122" s="263"/>
      <c r="G122" s="263"/>
      <c r="H122" s="288"/>
      <c r="I122" s="262"/>
      <c r="J122" s="280">
        <f t="shared" si="29"/>
        <v>0</v>
      </c>
      <c r="K122" s="280"/>
      <c r="L122" s="281">
        <f t="shared" si="30"/>
        <v>0</v>
      </c>
    </row>
    <row r="123" spans="2:12" ht="12.75" customHeight="1">
      <c r="B123" s="277" t="s">
        <v>278</v>
      </c>
      <c r="C123" s="278"/>
      <c r="D123" s="324" t="s">
        <v>344</v>
      </c>
      <c r="E123" s="280"/>
      <c r="F123" s="263"/>
      <c r="G123" s="263"/>
      <c r="H123" s="288"/>
      <c r="I123" s="262"/>
      <c r="J123" s="280">
        <f t="shared" si="29"/>
        <v>0</v>
      </c>
      <c r="K123" s="280"/>
      <c r="L123" s="281">
        <f t="shared" si="30"/>
        <v>0</v>
      </c>
    </row>
    <row r="124" spans="2:12" ht="12.75" customHeight="1">
      <c r="B124" s="282" t="s">
        <v>345</v>
      </c>
      <c r="C124" s="290"/>
      <c r="D124" s="349" t="s">
        <v>346</v>
      </c>
      <c r="E124" s="284"/>
      <c r="F124" s="284">
        <f>SUM(F126:F128)</f>
        <v>200000</v>
      </c>
      <c r="G124" s="284">
        <f>SUM(G126:G128)</f>
        <v>0</v>
      </c>
      <c r="H124" s="284"/>
      <c r="I124" s="284"/>
      <c r="J124" s="284">
        <f t="shared" si="29"/>
        <v>0</v>
      </c>
      <c r="K124" s="284"/>
      <c r="L124" s="251">
        <f t="shared" si="30"/>
        <v>200000</v>
      </c>
    </row>
    <row r="125" spans="2:12" ht="12.75" customHeight="1">
      <c r="B125" s="277"/>
      <c r="C125" s="278"/>
      <c r="D125" s="319" t="s">
        <v>209</v>
      </c>
      <c r="E125" s="280"/>
      <c r="F125" s="280"/>
      <c r="G125" s="280"/>
      <c r="H125" s="280"/>
      <c r="I125" s="280"/>
      <c r="J125" s="280"/>
      <c r="K125" s="280"/>
      <c r="L125" s="281">
        <f t="shared" si="30"/>
        <v>0</v>
      </c>
    </row>
    <row r="126" spans="2:12" ht="12.75" customHeight="1">
      <c r="B126" s="277" t="s">
        <v>301</v>
      </c>
      <c r="C126" s="278"/>
      <c r="D126" s="324" t="s">
        <v>347</v>
      </c>
      <c r="E126" s="280"/>
      <c r="F126" s="263">
        <v>200000</v>
      </c>
      <c r="G126" s="263"/>
      <c r="H126" s="280"/>
      <c r="I126" s="280"/>
      <c r="J126" s="280">
        <f aca="true" t="shared" si="31" ref="J126:J127">G126</f>
        <v>0</v>
      </c>
      <c r="K126" s="280"/>
      <c r="L126" s="281">
        <f t="shared" si="30"/>
        <v>200000</v>
      </c>
    </row>
    <row r="127" spans="2:12" ht="12.75" customHeight="1">
      <c r="B127" s="277" t="s">
        <v>303</v>
      </c>
      <c r="C127" s="278"/>
      <c r="D127" s="324" t="s">
        <v>348</v>
      </c>
      <c r="E127" s="280"/>
      <c r="F127" s="263"/>
      <c r="G127" s="263"/>
      <c r="H127" s="280"/>
      <c r="I127" s="280"/>
      <c r="J127" s="280">
        <f t="shared" si="31"/>
        <v>0</v>
      </c>
      <c r="K127" s="280"/>
      <c r="L127" s="281">
        <f t="shared" si="30"/>
        <v>0</v>
      </c>
    </row>
    <row r="128" spans="2:12" ht="11.25">
      <c r="B128" s="277" t="s">
        <v>278</v>
      </c>
      <c r="C128" s="278"/>
      <c r="D128" s="324" t="s">
        <v>349</v>
      </c>
      <c r="E128" s="280"/>
      <c r="F128" s="263"/>
      <c r="G128" s="263"/>
      <c r="H128" s="280"/>
      <c r="I128" s="280"/>
      <c r="J128" s="280"/>
      <c r="K128" s="280"/>
      <c r="L128" s="281">
        <f t="shared" si="30"/>
        <v>0</v>
      </c>
    </row>
    <row r="129" spans="2:12" ht="12.75" customHeight="1">
      <c r="B129" s="282" t="s">
        <v>350</v>
      </c>
      <c r="C129" s="290"/>
      <c r="D129" s="349" t="s">
        <v>351</v>
      </c>
      <c r="E129" s="284"/>
      <c r="F129" s="284">
        <f>SUM(F131:F133)</f>
        <v>120000</v>
      </c>
      <c r="G129" s="284">
        <f>SUM(G131:G133)</f>
        <v>0</v>
      </c>
      <c r="H129" s="284"/>
      <c r="I129" s="284"/>
      <c r="J129" s="284">
        <f>G129</f>
        <v>0</v>
      </c>
      <c r="K129" s="284"/>
      <c r="L129" s="251">
        <f t="shared" si="30"/>
        <v>120000</v>
      </c>
    </row>
    <row r="130" spans="2:12" ht="12.75" customHeight="1">
      <c r="B130" s="277"/>
      <c r="C130" s="278"/>
      <c r="D130" s="319" t="s">
        <v>209</v>
      </c>
      <c r="E130" s="280"/>
      <c r="F130" s="280"/>
      <c r="G130" s="280"/>
      <c r="H130" s="280"/>
      <c r="I130" s="280"/>
      <c r="J130" s="280"/>
      <c r="K130" s="280"/>
      <c r="L130" s="281">
        <f t="shared" si="30"/>
        <v>0</v>
      </c>
    </row>
    <row r="131" spans="2:12" ht="12.75" customHeight="1">
      <c r="B131" s="277" t="s">
        <v>301</v>
      </c>
      <c r="C131" s="278"/>
      <c r="D131" s="324" t="s">
        <v>352</v>
      </c>
      <c r="E131" s="280"/>
      <c r="F131" s="263">
        <v>70000</v>
      </c>
      <c r="G131" s="263"/>
      <c r="H131" s="280"/>
      <c r="I131" s="280"/>
      <c r="J131" s="280">
        <f aca="true" t="shared" si="32" ref="J131:J134">G131</f>
        <v>0</v>
      </c>
      <c r="K131" s="280"/>
      <c r="L131" s="281">
        <f t="shared" si="30"/>
        <v>70000</v>
      </c>
    </row>
    <row r="132" spans="2:12" ht="12.75" customHeight="1">
      <c r="B132" s="277" t="s">
        <v>303</v>
      </c>
      <c r="C132" s="278"/>
      <c r="D132" s="324" t="s">
        <v>353</v>
      </c>
      <c r="E132" s="280"/>
      <c r="F132" s="263"/>
      <c r="G132" s="263"/>
      <c r="H132" s="280"/>
      <c r="I132" s="280"/>
      <c r="J132" s="280">
        <f t="shared" si="32"/>
        <v>0</v>
      </c>
      <c r="K132" s="280"/>
      <c r="L132" s="281">
        <f aca="true" t="shared" si="33" ref="L132:L133">F132-G132</f>
        <v>0</v>
      </c>
    </row>
    <row r="133" spans="2:12" ht="12.75" customHeight="1">
      <c r="B133" s="277" t="s">
        <v>278</v>
      </c>
      <c r="C133" s="278"/>
      <c r="D133" s="324" t="s">
        <v>354</v>
      </c>
      <c r="E133" s="280"/>
      <c r="F133" s="263">
        <v>50000</v>
      </c>
      <c r="G133" s="263"/>
      <c r="H133" s="280"/>
      <c r="I133" s="280"/>
      <c r="J133" s="280">
        <f t="shared" si="32"/>
        <v>0</v>
      </c>
      <c r="K133" s="280"/>
      <c r="L133" s="281">
        <f t="shared" si="33"/>
        <v>50000</v>
      </c>
    </row>
    <row r="134" spans="2:12" ht="12.75" customHeight="1">
      <c r="B134" s="282" t="s">
        <v>355</v>
      </c>
      <c r="C134" s="290"/>
      <c r="D134" s="349" t="s">
        <v>356</v>
      </c>
      <c r="E134" s="284"/>
      <c r="F134" s="284">
        <f>SUM(F136:F140)</f>
        <v>1441200</v>
      </c>
      <c r="G134" s="284">
        <f>SUM(G136:G140)</f>
        <v>273846</v>
      </c>
      <c r="H134" s="284"/>
      <c r="I134" s="284"/>
      <c r="J134" s="284">
        <f t="shared" si="32"/>
        <v>273846</v>
      </c>
      <c r="K134" s="284"/>
      <c r="L134" s="251">
        <f aca="true" t="shared" si="34" ref="L134:L135">F134-J134</f>
        <v>1167354</v>
      </c>
    </row>
    <row r="135" spans="2:12" ht="12.75" customHeight="1">
      <c r="B135" s="277"/>
      <c r="C135" s="278"/>
      <c r="D135" s="319" t="s">
        <v>209</v>
      </c>
      <c r="E135" s="262"/>
      <c r="F135" s="280"/>
      <c r="G135" s="280"/>
      <c r="H135" s="280"/>
      <c r="I135" s="280"/>
      <c r="J135" s="280"/>
      <c r="K135" s="280"/>
      <c r="L135" s="281">
        <f t="shared" si="34"/>
        <v>0</v>
      </c>
    </row>
    <row r="136" spans="2:12" ht="12.75" customHeight="1">
      <c r="B136" s="259" t="s">
        <v>231</v>
      </c>
      <c r="C136" s="278"/>
      <c r="D136" s="324" t="s">
        <v>357</v>
      </c>
      <c r="E136" s="280"/>
      <c r="F136" s="263">
        <v>90000</v>
      </c>
      <c r="G136" s="263">
        <f>25420+40020+18446</f>
        <v>83886</v>
      </c>
      <c r="H136" s="262"/>
      <c r="I136" s="262"/>
      <c r="J136" s="280">
        <f aca="true" t="shared" si="35" ref="J136:J141">G136</f>
        <v>83886</v>
      </c>
      <c r="K136" s="280"/>
      <c r="L136" s="281">
        <f aca="true" t="shared" si="36" ref="L136:L137">F136-G136</f>
        <v>6114</v>
      </c>
    </row>
    <row r="137" spans="2:12" ht="12.75" customHeight="1">
      <c r="B137" s="277" t="s">
        <v>301</v>
      </c>
      <c r="C137" s="278"/>
      <c r="D137" s="324" t="s">
        <v>358</v>
      </c>
      <c r="E137" s="280"/>
      <c r="F137" s="263">
        <v>290000</v>
      </c>
      <c r="G137" s="263">
        <f>70000+12000+26000</f>
        <v>108000</v>
      </c>
      <c r="H137" s="299"/>
      <c r="I137" s="262"/>
      <c r="J137" s="280">
        <f t="shared" si="35"/>
        <v>108000</v>
      </c>
      <c r="K137" s="280"/>
      <c r="L137" s="281">
        <f t="shared" si="36"/>
        <v>182000</v>
      </c>
    </row>
    <row r="138" spans="2:12" ht="12.75" customHeight="1">
      <c r="B138" s="277" t="s">
        <v>237</v>
      </c>
      <c r="C138" s="278"/>
      <c r="D138" s="324" t="s">
        <v>359</v>
      </c>
      <c r="E138" s="280"/>
      <c r="F138" s="263"/>
      <c r="G138" s="263"/>
      <c r="H138" s="288"/>
      <c r="I138" s="262"/>
      <c r="J138" s="280">
        <f t="shared" si="35"/>
        <v>0</v>
      </c>
      <c r="K138" s="280"/>
      <c r="L138" s="281">
        <f>F138-J138</f>
        <v>0</v>
      </c>
    </row>
    <row r="139" spans="2:12" ht="12.75" customHeight="1">
      <c r="B139" s="277" t="s">
        <v>303</v>
      </c>
      <c r="C139" s="278"/>
      <c r="D139" s="324" t="s">
        <v>360</v>
      </c>
      <c r="E139" s="262"/>
      <c r="F139" s="263">
        <v>85000</v>
      </c>
      <c r="G139" s="263">
        <v>81960</v>
      </c>
      <c r="H139" s="299"/>
      <c r="I139" s="262"/>
      <c r="J139" s="280">
        <f t="shared" si="35"/>
        <v>81960</v>
      </c>
      <c r="K139" s="280"/>
      <c r="L139" s="281">
        <f aca="true" t="shared" si="37" ref="L139:L140">F139-G139</f>
        <v>3040</v>
      </c>
    </row>
    <row r="140" spans="2:12" ht="12.75" customHeight="1">
      <c r="B140" s="277" t="s">
        <v>278</v>
      </c>
      <c r="C140" s="309"/>
      <c r="D140" s="310" t="s">
        <v>361</v>
      </c>
      <c r="E140" s="312"/>
      <c r="F140" s="335">
        <f>1061200-85000</f>
        <v>976200</v>
      </c>
      <c r="G140" s="335"/>
      <c r="H140" s="288"/>
      <c r="I140" s="262"/>
      <c r="J140" s="312">
        <f t="shared" si="35"/>
        <v>0</v>
      </c>
      <c r="K140" s="312"/>
      <c r="L140" s="313">
        <f t="shared" si="37"/>
        <v>976200</v>
      </c>
    </row>
    <row r="141" spans="2:12" s="189" customFormat="1" ht="23.25" customHeight="1">
      <c r="B141" s="282" t="s">
        <v>259</v>
      </c>
      <c r="C141" s="248"/>
      <c r="D141" s="349" t="s">
        <v>362</v>
      </c>
      <c r="E141" s="250"/>
      <c r="F141" s="284">
        <f>F143</f>
        <v>600</v>
      </c>
      <c r="G141" s="284">
        <f>G143</f>
        <v>0</v>
      </c>
      <c r="H141" s="250"/>
      <c r="I141" s="250"/>
      <c r="J141" s="284">
        <f t="shared" si="35"/>
        <v>0</v>
      </c>
      <c r="K141" s="250"/>
      <c r="L141" s="251">
        <f>L143</f>
        <v>600</v>
      </c>
    </row>
    <row r="142" spans="2:12" ht="12.75" customHeight="1">
      <c r="B142" s="291"/>
      <c r="C142" s="307"/>
      <c r="D142" s="333" t="s">
        <v>247</v>
      </c>
      <c r="E142" s="295"/>
      <c r="F142" s="295"/>
      <c r="G142" s="295"/>
      <c r="H142" s="295"/>
      <c r="I142" s="295"/>
      <c r="J142" s="295"/>
      <c r="K142" s="295"/>
      <c r="L142" s="297"/>
    </row>
    <row r="143" spans="2:12" ht="13.5" customHeight="1">
      <c r="B143" s="277" t="s">
        <v>266</v>
      </c>
      <c r="C143" s="351"/>
      <c r="D143" s="352" t="s">
        <v>363</v>
      </c>
      <c r="E143" s="268"/>
      <c r="F143" s="269">
        <f>3000-2400</f>
        <v>600</v>
      </c>
      <c r="G143" s="269"/>
      <c r="H143" s="353"/>
      <c r="I143" s="353"/>
      <c r="J143" s="353">
        <f aca="true" t="shared" si="38" ref="J143:J146">G143</f>
        <v>0</v>
      </c>
      <c r="K143" s="353"/>
      <c r="L143" s="354">
        <f>F143-G143</f>
        <v>600</v>
      </c>
    </row>
    <row r="144" spans="2:12" ht="13.5" customHeight="1">
      <c r="B144" s="302" t="s">
        <v>364</v>
      </c>
      <c r="C144" s="314"/>
      <c r="D144" s="304" t="s">
        <v>365</v>
      </c>
      <c r="E144" s="305"/>
      <c r="F144" s="305">
        <f>F148+F159</f>
        <v>80000</v>
      </c>
      <c r="G144" s="305">
        <f>G148+G159</f>
        <v>0</v>
      </c>
      <c r="H144" s="305"/>
      <c r="I144" s="305"/>
      <c r="J144" s="305">
        <f t="shared" si="38"/>
        <v>0</v>
      </c>
      <c r="K144" s="305"/>
      <c r="L144" s="306">
        <f aca="true" t="shared" si="39" ref="L144:L158">F144-J144</f>
        <v>80000</v>
      </c>
    </row>
    <row r="145" spans="2:12" ht="13.5" customHeight="1">
      <c r="B145" s="355" t="s">
        <v>366</v>
      </c>
      <c r="C145" s="356"/>
      <c r="D145" s="357" t="s">
        <v>367</v>
      </c>
      <c r="E145" s="358"/>
      <c r="F145" s="358">
        <f>SUM(F150:F156)</f>
        <v>0</v>
      </c>
      <c r="G145" s="358">
        <f>SUM(G150:G156)</f>
        <v>0</v>
      </c>
      <c r="H145" s="358"/>
      <c r="I145" s="358"/>
      <c r="J145" s="358">
        <f t="shared" si="38"/>
        <v>0</v>
      </c>
      <c r="K145" s="358"/>
      <c r="L145" s="359">
        <f t="shared" si="39"/>
        <v>0</v>
      </c>
    </row>
    <row r="146" spans="2:12" ht="13.5" customHeight="1">
      <c r="B146" s="360" t="s">
        <v>239</v>
      </c>
      <c r="C146" s="361"/>
      <c r="D146" s="362" t="s">
        <v>368</v>
      </c>
      <c r="E146" s="363"/>
      <c r="F146" s="363">
        <f>SUM(F157:F158)</f>
        <v>80000</v>
      </c>
      <c r="G146" s="363">
        <f>SUM(G157:G158)</f>
        <v>0</v>
      </c>
      <c r="H146" s="363"/>
      <c r="I146" s="363"/>
      <c r="J146" s="363">
        <f t="shared" si="38"/>
        <v>0</v>
      </c>
      <c r="K146" s="363"/>
      <c r="L146" s="364">
        <f t="shared" si="39"/>
        <v>80000</v>
      </c>
    </row>
    <row r="147" spans="2:12" ht="13.5" customHeight="1">
      <c r="B147" s="277"/>
      <c r="C147" s="278"/>
      <c r="D147" s="319" t="s">
        <v>209</v>
      </c>
      <c r="E147" s="280"/>
      <c r="F147" s="280"/>
      <c r="G147" s="280"/>
      <c r="H147" s="280"/>
      <c r="I147" s="280"/>
      <c r="J147" s="280"/>
      <c r="K147" s="280"/>
      <c r="L147" s="281">
        <f t="shared" si="39"/>
        <v>0</v>
      </c>
    </row>
    <row r="148" spans="2:12" ht="24" customHeight="1">
      <c r="B148" s="282" t="s">
        <v>369</v>
      </c>
      <c r="C148" s="248"/>
      <c r="D148" s="349" t="s">
        <v>370</v>
      </c>
      <c r="E148" s="250"/>
      <c r="F148" s="250">
        <f>SUM(F150:F158)</f>
        <v>80000</v>
      </c>
      <c r="G148" s="250">
        <f>SUM(G150:G158)</f>
        <v>0</v>
      </c>
      <c r="H148" s="250"/>
      <c r="I148" s="250"/>
      <c r="J148" s="250">
        <f>G148</f>
        <v>0</v>
      </c>
      <c r="K148" s="250"/>
      <c r="L148" s="251">
        <f t="shared" si="39"/>
        <v>80000</v>
      </c>
    </row>
    <row r="149" spans="2:12" ht="13.5" customHeight="1">
      <c r="B149" s="277"/>
      <c r="C149" s="278"/>
      <c r="D149" s="319" t="s">
        <v>209</v>
      </c>
      <c r="E149" s="280"/>
      <c r="F149" s="280"/>
      <c r="G149" s="280"/>
      <c r="H149" s="280"/>
      <c r="I149" s="280"/>
      <c r="J149" s="280"/>
      <c r="K149" s="280"/>
      <c r="L149" s="281">
        <f t="shared" si="39"/>
        <v>0</v>
      </c>
    </row>
    <row r="150" spans="2:12" ht="13.5" customHeight="1" hidden="1">
      <c r="B150" s="259" t="s">
        <v>217</v>
      </c>
      <c r="C150" s="278"/>
      <c r="D150" s="324" t="s">
        <v>371</v>
      </c>
      <c r="E150" s="280"/>
      <c r="F150" s="263"/>
      <c r="G150" s="263"/>
      <c r="H150" s="280"/>
      <c r="I150" s="280"/>
      <c r="J150" s="280"/>
      <c r="K150" s="280"/>
      <c r="L150" s="281">
        <f t="shared" si="39"/>
        <v>0</v>
      </c>
    </row>
    <row r="151" spans="2:12" ht="13.5" customHeight="1" hidden="1">
      <c r="B151" s="259" t="s">
        <v>372</v>
      </c>
      <c r="C151" s="278"/>
      <c r="D151" s="324" t="s">
        <v>373</v>
      </c>
      <c r="E151" s="280"/>
      <c r="F151" s="263"/>
      <c r="G151" s="263"/>
      <c r="H151" s="280"/>
      <c r="I151" s="280"/>
      <c r="J151" s="280"/>
      <c r="K151" s="280"/>
      <c r="L151" s="281">
        <f t="shared" si="39"/>
        <v>0</v>
      </c>
    </row>
    <row r="152" spans="2:12" ht="13.5" customHeight="1" hidden="1">
      <c r="B152" s="277" t="s">
        <v>223</v>
      </c>
      <c r="C152" s="278"/>
      <c r="D152" s="324" t="s">
        <v>374</v>
      </c>
      <c r="E152" s="280"/>
      <c r="F152" s="263"/>
      <c r="G152" s="263"/>
      <c r="H152" s="280"/>
      <c r="I152" s="280"/>
      <c r="J152" s="280"/>
      <c r="K152" s="280"/>
      <c r="L152" s="281">
        <f t="shared" si="39"/>
        <v>0</v>
      </c>
    </row>
    <row r="153" spans="2:12" ht="13.5" customHeight="1" hidden="1">
      <c r="B153" s="277" t="s">
        <v>225</v>
      </c>
      <c r="C153" s="278"/>
      <c r="D153" s="324" t="s">
        <v>375</v>
      </c>
      <c r="E153" s="280"/>
      <c r="F153" s="263"/>
      <c r="G153" s="263"/>
      <c r="H153" s="280"/>
      <c r="I153" s="280"/>
      <c r="J153" s="280"/>
      <c r="K153" s="280"/>
      <c r="L153" s="281">
        <f t="shared" si="39"/>
        <v>0</v>
      </c>
    </row>
    <row r="154" spans="2:12" ht="13.5" customHeight="1" hidden="1">
      <c r="B154" s="277" t="s">
        <v>227</v>
      </c>
      <c r="C154" s="278"/>
      <c r="D154" s="324" t="s">
        <v>376</v>
      </c>
      <c r="E154" s="280"/>
      <c r="F154" s="263"/>
      <c r="G154" s="263"/>
      <c r="H154" s="280"/>
      <c r="I154" s="280"/>
      <c r="J154" s="280"/>
      <c r="K154" s="280"/>
      <c r="L154" s="281">
        <f t="shared" si="39"/>
        <v>0</v>
      </c>
    </row>
    <row r="155" spans="2:12" ht="13.5" customHeight="1" hidden="1">
      <c r="B155" s="259" t="s">
        <v>377</v>
      </c>
      <c r="C155" s="278"/>
      <c r="D155" s="324" t="s">
        <v>378</v>
      </c>
      <c r="E155" s="280"/>
      <c r="F155" s="263"/>
      <c r="G155" s="263"/>
      <c r="H155" s="280"/>
      <c r="I155" s="280"/>
      <c r="J155" s="280"/>
      <c r="K155" s="280"/>
      <c r="L155" s="281">
        <f t="shared" si="39"/>
        <v>0</v>
      </c>
    </row>
    <row r="156" spans="2:12" ht="13.5" customHeight="1" hidden="1">
      <c r="B156" s="277" t="s">
        <v>379</v>
      </c>
      <c r="C156" s="278"/>
      <c r="D156" s="324" t="s">
        <v>380</v>
      </c>
      <c r="E156" s="280"/>
      <c r="F156" s="263"/>
      <c r="G156" s="263"/>
      <c r="H156" s="280"/>
      <c r="I156" s="280"/>
      <c r="J156" s="280"/>
      <c r="K156" s="280"/>
      <c r="L156" s="281">
        <f t="shared" si="39"/>
        <v>0</v>
      </c>
    </row>
    <row r="157" spans="2:12" ht="13.5" customHeight="1" hidden="1">
      <c r="B157" s="259" t="s">
        <v>255</v>
      </c>
      <c r="C157" s="278"/>
      <c r="D157" s="324" t="s">
        <v>381</v>
      </c>
      <c r="E157" s="280"/>
      <c r="F157" s="263"/>
      <c r="G157" s="263"/>
      <c r="H157" s="280"/>
      <c r="I157" s="280"/>
      <c r="J157" s="280"/>
      <c r="K157" s="280"/>
      <c r="L157" s="281">
        <f t="shared" si="39"/>
        <v>0</v>
      </c>
    </row>
    <row r="158" spans="2:12" ht="22.5" customHeight="1">
      <c r="B158" s="259" t="s">
        <v>257</v>
      </c>
      <c r="C158" s="278"/>
      <c r="D158" s="324" t="s">
        <v>382</v>
      </c>
      <c r="E158" s="280"/>
      <c r="F158" s="263">
        <v>80000</v>
      </c>
      <c r="G158" s="263"/>
      <c r="H158" s="280"/>
      <c r="I158" s="280"/>
      <c r="J158" s="280">
        <f>G158</f>
        <v>0</v>
      </c>
      <c r="K158" s="280"/>
      <c r="L158" s="281">
        <f t="shared" si="39"/>
        <v>80000</v>
      </c>
    </row>
    <row r="159" spans="2:12" ht="13.5" customHeight="1" hidden="1">
      <c r="B159" s="282" t="s">
        <v>383</v>
      </c>
      <c r="C159" s="290"/>
      <c r="D159" s="349" t="s">
        <v>384</v>
      </c>
      <c r="E159" s="284"/>
      <c r="F159" s="284">
        <f>F161</f>
        <v>0</v>
      </c>
      <c r="G159" s="284">
        <f>G161</f>
        <v>0</v>
      </c>
      <c r="H159" s="284"/>
      <c r="I159" s="284"/>
      <c r="J159" s="284">
        <f>J161</f>
        <v>0</v>
      </c>
      <c r="K159" s="284"/>
      <c r="L159" s="251">
        <f>L161</f>
        <v>0</v>
      </c>
    </row>
    <row r="160" spans="2:12" ht="13.5" customHeight="1" hidden="1">
      <c r="B160" s="259"/>
      <c r="C160" s="278"/>
      <c r="D160" s="319" t="s">
        <v>247</v>
      </c>
      <c r="E160" s="280"/>
      <c r="F160" s="280"/>
      <c r="G160" s="280"/>
      <c r="H160" s="280"/>
      <c r="I160" s="280"/>
      <c r="J160" s="280"/>
      <c r="K160" s="280"/>
      <c r="L160" s="281"/>
    </row>
    <row r="161" spans="2:12" ht="13.5" customHeight="1" hidden="1">
      <c r="B161" s="277" t="s">
        <v>385</v>
      </c>
      <c r="C161" s="309"/>
      <c r="D161" s="324" t="s">
        <v>386</v>
      </c>
      <c r="E161" s="312"/>
      <c r="F161" s="335"/>
      <c r="G161" s="335"/>
      <c r="H161" s="312"/>
      <c r="I161" s="312"/>
      <c r="J161" s="312">
        <f aca="true" t="shared" si="40" ref="J161:J177">G161</f>
        <v>0</v>
      </c>
      <c r="K161" s="312"/>
      <c r="L161" s="313">
        <f>F161-G161</f>
        <v>0</v>
      </c>
    </row>
    <row r="162" spans="2:12" ht="12.75" customHeight="1">
      <c r="B162" s="302" t="s">
        <v>387</v>
      </c>
      <c r="C162" s="314"/>
      <c r="D162" s="304" t="s">
        <v>388</v>
      </c>
      <c r="E162" s="326"/>
      <c r="F162" s="305">
        <f>F163+F175</f>
        <v>2151650</v>
      </c>
      <c r="G162" s="305">
        <f>G163+G175</f>
        <v>1480260.24</v>
      </c>
      <c r="H162" s="305"/>
      <c r="I162" s="305">
        <f>I163+I175</f>
        <v>0</v>
      </c>
      <c r="J162" s="316">
        <f t="shared" si="40"/>
        <v>1480260.24</v>
      </c>
      <c r="K162" s="305"/>
      <c r="L162" s="306">
        <f aca="true" t="shared" si="41" ref="L162:L194">F162-J162</f>
        <v>671389.76</v>
      </c>
    </row>
    <row r="163" spans="2:12" ht="12.75" customHeight="1">
      <c r="B163" s="242" t="s">
        <v>213</v>
      </c>
      <c r="C163" s="243"/>
      <c r="D163" s="317" t="s">
        <v>389</v>
      </c>
      <c r="E163" s="245"/>
      <c r="F163" s="245">
        <f>F164+F168+F174</f>
        <v>1891950</v>
      </c>
      <c r="G163" s="245">
        <f>G164+G168+G174</f>
        <v>1312641.74</v>
      </c>
      <c r="H163" s="245"/>
      <c r="I163" s="245"/>
      <c r="J163" s="245">
        <f t="shared" si="40"/>
        <v>1312641.74</v>
      </c>
      <c r="K163" s="245"/>
      <c r="L163" s="246">
        <f t="shared" si="41"/>
        <v>579308.26</v>
      </c>
    </row>
    <row r="164" spans="2:12" ht="12.75" customHeight="1">
      <c r="B164" s="247" t="s">
        <v>215</v>
      </c>
      <c r="C164" s="248"/>
      <c r="D164" s="318" t="s">
        <v>390</v>
      </c>
      <c r="E164" s="250"/>
      <c r="F164" s="250">
        <f>F165+F166+F167</f>
        <v>1455500</v>
      </c>
      <c r="G164" s="250">
        <f>G165+G166+G167</f>
        <v>974908.8400000001</v>
      </c>
      <c r="H164" s="250"/>
      <c r="I164" s="250"/>
      <c r="J164" s="250">
        <f t="shared" si="40"/>
        <v>974908.8400000001</v>
      </c>
      <c r="K164" s="250"/>
      <c r="L164" s="251">
        <f t="shared" si="41"/>
        <v>480591.1599999999</v>
      </c>
    </row>
    <row r="165" spans="2:12" ht="12.75" customHeight="1">
      <c r="B165" s="247" t="s">
        <v>217</v>
      </c>
      <c r="C165" s="248"/>
      <c r="D165" s="318" t="s">
        <v>391</v>
      </c>
      <c r="E165" s="250"/>
      <c r="F165" s="250">
        <f aca="true" t="shared" si="42" ref="F165:F167">F183</f>
        <v>1098000</v>
      </c>
      <c r="G165" s="250">
        <f aca="true" t="shared" si="43" ref="G165:G167">G183</f>
        <v>799996.18</v>
      </c>
      <c r="H165" s="250"/>
      <c r="I165" s="250"/>
      <c r="J165" s="250">
        <f t="shared" si="40"/>
        <v>799996.18</v>
      </c>
      <c r="K165" s="250"/>
      <c r="L165" s="251">
        <f t="shared" si="41"/>
        <v>298003.81999999995</v>
      </c>
    </row>
    <row r="166" spans="2:12" ht="12.75" customHeight="1">
      <c r="B166" s="247" t="s">
        <v>392</v>
      </c>
      <c r="C166" s="248"/>
      <c r="D166" s="318" t="s">
        <v>393</v>
      </c>
      <c r="E166" s="250"/>
      <c r="F166" s="250">
        <f t="shared" si="42"/>
        <v>0</v>
      </c>
      <c r="G166" s="250">
        <f t="shared" si="43"/>
        <v>0</v>
      </c>
      <c r="H166" s="250"/>
      <c r="I166" s="250"/>
      <c r="J166" s="250">
        <f t="shared" si="40"/>
        <v>0</v>
      </c>
      <c r="K166" s="250"/>
      <c r="L166" s="251">
        <f t="shared" si="41"/>
        <v>0</v>
      </c>
    </row>
    <row r="167" spans="2:12" ht="12.75" customHeight="1">
      <c r="B167" s="247" t="s">
        <v>253</v>
      </c>
      <c r="C167" s="248"/>
      <c r="D167" s="318" t="s">
        <v>394</v>
      </c>
      <c r="E167" s="250"/>
      <c r="F167" s="250">
        <f t="shared" si="42"/>
        <v>357500</v>
      </c>
      <c r="G167" s="250">
        <f t="shared" si="43"/>
        <v>174912.66</v>
      </c>
      <c r="H167" s="250"/>
      <c r="I167" s="250"/>
      <c r="J167" s="250">
        <f t="shared" si="40"/>
        <v>174912.66</v>
      </c>
      <c r="K167" s="250"/>
      <c r="L167" s="251">
        <f t="shared" si="41"/>
        <v>182587.34</v>
      </c>
    </row>
    <row r="168" spans="2:12" ht="12.75" customHeight="1">
      <c r="B168" s="247" t="s">
        <v>221</v>
      </c>
      <c r="C168" s="248"/>
      <c r="D168" s="318" t="s">
        <v>395</v>
      </c>
      <c r="E168" s="250"/>
      <c r="F168" s="250">
        <f>F169+F170+F171+F172+F173</f>
        <v>339000</v>
      </c>
      <c r="G168" s="250">
        <f>G169+G170+G171+G172+G173</f>
        <v>296165.52</v>
      </c>
      <c r="H168" s="250"/>
      <c r="I168" s="250"/>
      <c r="J168" s="250">
        <f t="shared" si="40"/>
        <v>296165.52</v>
      </c>
      <c r="K168" s="250"/>
      <c r="L168" s="251">
        <f t="shared" si="41"/>
        <v>42834.47999999998</v>
      </c>
    </row>
    <row r="169" spans="2:12" ht="12.75" customHeight="1">
      <c r="B169" s="247" t="s">
        <v>223</v>
      </c>
      <c r="C169" s="248"/>
      <c r="D169" s="318" t="s">
        <v>396</v>
      </c>
      <c r="E169" s="250"/>
      <c r="F169" s="250">
        <f aca="true" t="shared" si="44" ref="F169:F173">F186</f>
        <v>0</v>
      </c>
      <c r="G169" s="250">
        <f aca="true" t="shared" si="45" ref="G169:G173">G186</f>
        <v>0</v>
      </c>
      <c r="H169" s="250"/>
      <c r="I169" s="250"/>
      <c r="J169" s="250">
        <f t="shared" si="40"/>
        <v>0</v>
      </c>
      <c r="K169" s="250"/>
      <c r="L169" s="251">
        <f t="shared" si="41"/>
        <v>0</v>
      </c>
    </row>
    <row r="170" spans="2:12" ht="12.75" customHeight="1">
      <c r="B170" s="247" t="s">
        <v>225</v>
      </c>
      <c r="C170" s="248"/>
      <c r="D170" s="318" t="s">
        <v>397</v>
      </c>
      <c r="E170" s="250"/>
      <c r="F170" s="250">
        <f t="shared" si="44"/>
        <v>0</v>
      </c>
      <c r="G170" s="250">
        <f t="shared" si="45"/>
        <v>0</v>
      </c>
      <c r="H170" s="250"/>
      <c r="I170" s="250"/>
      <c r="J170" s="250">
        <f t="shared" si="40"/>
        <v>0</v>
      </c>
      <c r="K170" s="250"/>
      <c r="L170" s="251">
        <f t="shared" si="41"/>
        <v>0</v>
      </c>
    </row>
    <row r="171" spans="2:12" ht="12.75" customHeight="1">
      <c r="B171" s="247" t="s">
        <v>227</v>
      </c>
      <c r="C171" s="248"/>
      <c r="D171" s="318" t="s">
        <v>398</v>
      </c>
      <c r="E171" s="250"/>
      <c r="F171" s="250">
        <f t="shared" si="44"/>
        <v>79000</v>
      </c>
      <c r="G171" s="250">
        <f t="shared" si="45"/>
        <v>77831.01999999999</v>
      </c>
      <c r="H171" s="250"/>
      <c r="I171" s="250"/>
      <c r="J171" s="250">
        <f t="shared" si="40"/>
        <v>77831.01999999999</v>
      </c>
      <c r="K171" s="250"/>
      <c r="L171" s="251">
        <f t="shared" si="41"/>
        <v>1168.9800000000105</v>
      </c>
    </row>
    <row r="172" spans="2:12" ht="12.75" customHeight="1">
      <c r="B172" s="247" t="s">
        <v>231</v>
      </c>
      <c r="C172" s="248"/>
      <c r="D172" s="318" t="s">
        <v>399</v>
      </c>
      <c r="E172" s="250"/>
      <c r="F172" s="250">
        <f t="shared" si="44"/>
        <v>225000</v>
      </c>
      <c r="G172" s="250">
        <f t="shared" si="45"/>
        <v>166881.5</v>
      </c>
      <c r="H172" s="250"/>
      <c r="I172" s="250"/>
      <c r="J172" s="250">
        <f t="shared" si="40"/>
        <v>166881.5</v>
      </c>
      <c r="K172" s="250"/>
      <c r="L172" s="251">
        <f t="shared" si="41"/>
        <v>58118.5</v>
      </c>
    </row>
    <row r="173" spans="2:12" ht="12.75" customHeight="1">
      <c r="B173" s="247" t="s">
        <v>301</v>
      </c>
      <c r="C173" s="248"/>
      <c r="D173" s="318" t="s">
        <v>400</v>
      </c>
      <c r="E173" s="250"/>
      <c r="F173" s="250">
        <f t="shared" si="44"/>
        <v>35000</v>
      </c>
      <c r="G173" s="250">
        <f t="shared" si="45"/>
        <v>51453</v>
      </c>
      <c r="H173" s="250"/>
      <c r="I173" s="250"/>
      <c r="J173" s="250">
        <f t="shared" si="40"/>
        <v>51453</v>
      </c>
      <c r="K173" s="250"/>
      <c r="L173" s="251">
        <f t="shared" si="41"/>
        <v>-16453</v>
      </c>
    </row>
    <row r="174" spans="2:12" ht="12.75" customHeight="1">
      <c r="B174" s="247" t="s">
        <v>237</v>
      </c>
      <c r="C174" s="248"/>
      <c r="D174" s="318" t="s">
        <v>401</v>
      </c>
      <c r="E174" s="250"/>
      <c r="F174" s="250">
        <f>F191+SUM(F196:F199)</f>
        <v>97450</v>
      </c>
      <c r="G174" s="250">
        <f>G191+SUM(G196:G199)</f>
        <v>41567.38</v>
      </c>
      <c r="H174" s="250"/>
      <c r="I174" s="250"/>
      <c r="J174" s="250">
        <f t="shared" si="40"/>
        <v>41567.38</v>
      </c>
      <c r="K174" s="250"/>
      <c r="L174" s="251">
        <f t="shared" si="41"/>
        <v>55882.62</v>
      </c>
    </row>
    <row r="175" spans="2:12" ht="12.75" customHeight="1">
      <c r="B175" s="247" t="s">
        <v>239</v>
      </c>
      <c r="C175" s="248"/>
      <c r="D175" s="318" t="s">
        <v>402</v>
      </c>
      <c r="E175" s="250"/>
      <c r="F175" s="250">
        <f>F176+F177</f>
        <v>259700</v>
      </c>
      <c r="G175" s="250">
        <f>G176+G177</f>
        <v>167618.5</v>
      </c>
      <c r="H175" s="250"/>
      <c r="I175" s="250"/>
      <c r="J175" s="250">
        <f t="shared" si="40"/>
        <v>167618.5</v>
      </c>
      <c r="K175" s="250"/>
      <c r="L175" s="251">
        <f t="shared" si="41"/>
        <v>92081.5</v>
      </c>
    </row>
    <row r="176" spans="2:12" ht="12.75" customHeight="1">
      <c r="B176" s="247" t="s">
        <v>303</v>
      </c>
      <c r="C176" s="248"/>
      <c r="D176" s="318" t="s">
        <v>403</v>
      </c>
      <c r="E176" s="250"/>
      <c r="F176" s="250">
        <f aca="true" t="shared" si="46" ref="F176:F177">F192</f>
        <v>215000</v>
      </c>
      <c r="G176" s="250">
        <f aca="true" t="shared" si="47" ref="G176:G177">G192</f>
        <v>145760</v>
      </c>
      <c r="H176" s="250"/>
      <c r="I176" s="250"/>
      <c r="J176" s="250">
        <f t="shared" si="40"/>
        <v>145760</v>
      </c>
      <c r="K176" s="250"/>
      <c r="L176" s="251">
        <f t="shared" si="41"/>
        <v>69240</v>
      </c>
    </row>
    <row r="177" spans="2:12" ht="13.5" customHeight="1">
      <c r="B177" s="247" t="s">
        <v>278</v>
      </c>
      <c r="C177" s="341"/>
      <c r="D177" s="342" t="s">
        <v>404</v>
      </c>
      <c r="E177" s="343"/>
      <c r="F177" s="343">
        <f t="shared" si="46"/>
        <v>44700</v>
      </c>
      <c r="G177" s="343">
        <f t="shared" si="47"/>
        <v>21858.5</v>
      </c>
      <c r="H177" s="343"/>
      <c r="I177" s="343"/>
      <c r="J177" s="343">
        <f t="shared" si="40"/>
        <v>21858.5</v>
      </c>
      <c r="K177" s="343"/>
      <c r="L177" s="344">
        <f t="shared" si="41"/>
        <v>22841.5</v>
      </c>
    </row>
    <row r="178" spans="2:12" ht="12.75" customHeight="1">
      <c r="B178" s="277"/>
      <c r="C178" s="278"/>
      <c r="D178" s="279" t="s">
        <v>209</v>
      </c>
      <c r="E178" s="280"/>
      <c r="F178" s="320"/>
      <c r="G178" s="320"/>
      <c r="H178" s="280"/>
      <c r="I178" s="280"/>
      <c r="J178" s="320"/>
      <c r="K178" s="280"/>
      <c r="L178" s="281">
        <f t="shared" si="41"/>
        <v>0</v>
      </c>
    </row>
    <row r="179" spans="2:12" ht="12.75" customHeight="1">
      <c r="B179" s="271" t="s">
        <v>405</v>
      </c>
      <c r="C179" s="321"/>
      <c r="D179" s="254" t="s">
        <v>406</v>
      </c>
      <c r="E179" s="332"/>
      <c r="F179" s="323">
        <f>F181+F194</f>
        <v>2151650</v>
      </c>
      <c r="G179" s="323">
        <f>G181+G194</f>
        <v>1480260.2400000002</v>
      </c>
      <c r="H179" s="332"/>
      <c r="I179" s="323">
        <f>I181+I194</f>
        <v>0</v>
      </c>
      <c r="J179" s="323">
        <f>G179</f>
        <v>1480260.2400000002</v>
      </c>
      <c r="K179" s="332"/>
      <c r="L179" s="276">
        <f t="shared" si="41"/>
        <v>671389.7599999998</v>
      </c>
    </row>
    <row r="180" spans="2:12" ht="12.75" customHeight="1">
      <c r="B180" s="277"/>
      <c r="C180" s="278"/>
      <c r="D180" s="279" t="s">
        <v>209</v>
      </c>
      <c r="E180" s="280"/>
      <c r="F180" s="320"/>
      <c r="G180" s="320"/>
      <c r="H180" s="280"/>
      <c r="I180" s="280"/>
      <c r="J180" s="320"/>
      <c r="K180" s="280"/>
      <c r="L180" s="281">
        <f t="shared" si="41"/>
        <v>0</v>
      </c>
    </row>
    <row r="181" spans="2:12" ht="26.25" customHeight="1">
      <c r="B181" s="282" t="s">
        <v>407</v>
      </c>
      <c r="C181" s="248"/>
      <c r="D181" s="289" t="s">
        <v>408</v>
      </c>
      <c r="E181" s="250"/>
      <c r="F181" s="365">
        <f>SUM(F183:F193)</f>
        <v>2124500</v>
      </c>
      <c r="G181" s="365">
        <f>SUM(G183:G193)</f>
        <v>1465033.4300000002</v>
      </c>
      <c r="H181" s="250"/>
      <c r="I181" s="365">
        <f>SUM(I183:I193)</f>
        <v>0</v>
      </c>
      <c r="J181" s="365">
        <f>G181</f>
        <v>1465033.4300000002</v>
      </c>
      <c r="K181" s="250"/>
      <c r="L181" s="251">
        <f t="shared" si="41"/>
        <v>659466.5699999998</v>
      </c>
    </row>
    <row r="182" spans="2:12" ht="13.5" customHeight="1">
      <c r="B182" s="277"/>
      <c r="C182" s="278"/>
      <c r="D182" s="279" t="s">
        <v>209</v>
      </c>
      <c r="E182" s="280"/>
      <c r="F182" s="320"/>
      <c r="G182" s="320"/>
      <c r="H182" s="280"/>
      <c r="I182" s="280"/>
      <c r="J182" s="320"/>
      <c r="K182" s="280"/>
      <c r="L182" s="281">
        <f t="shared" si="41"/>
        <v>0</v>
      </c>
    </row>
    <row r="183" spans="2:12" ht="13.5" customHeight="1">
      <c r="B183" s="277" t="s">
        <v>217</v>
      </c>
      <c r="C183" s="278"/>
      <c r="D183" s="324" t="s">
        <v>409</v>
      </c>
      <c r="E183" s="280"/>
      <c r="F183" s="287">
        <f>1200000-100000-2000</f>
        <v>1098000</v>
      </c>
      <c r="G183" s="263">
        <f>25700+62520+108018.64+46515+31805+98740+56586.71+73360.28+72378.55+62320+89424+(2992)+69636</f>
        <v>799996.18</v>
      </c>
      <c r="H183" s="280"/>
      <c r="I183" s="262">
        <f>2992-2992</f>
        <v>0</v>
      </c>
      <c r="J183" s="280">
        <f aca="true" t="shared" si="48" ref="J183:J194">G183</f>
        <v>799996.18</v>
      </c>
      <c r="K183" s="280"/>
      <c r="L183" s="281">
        <f t="shared" si="41"/>
        <v>298003.81999999995</v>
      </c>
    </row>
    <row r="184" spans="2:12" ht="13.5" customHeight="1">
      <c r="B184" s="277" t="s">
        <v>410</v>
      </c>
      <c r="C184" s="278"/>
      <c r="D184" s="324" t="s">
        <v>411</v>
      </c>
      <c r="E184" s="280"/>
      <c r="F184" s="263"/>
      <c r="G184" s="263"/>
      <c r="H184" s="280"/>
      <c r="I184" s="280"/>
      <c r="J184" s="280">
        <f t="shared" si="48"/>
        <v>0</v>
      </c>
      <c r="K184" s="280"/>
      <c r="L184" s="281">
        <f t="shared" si="41"/>
        <v>0</v>
      </c>
    </row>
    <row r="185" spans="2:12" ht="13.5" customHeight="1">
      <c r="B185" s="277" t="s">
        <v>253</v>
      </c>
      <c r="C185" s="278"/>
      <c r="D185" s="324" t="s">
        <v>412</v>
      </c>
      <c r="E185" s="280"/>
      <c r="F185" s="366">
        <f>360000-2500</f>
        <v>357500</v>
      </c>
      <c r="G185" s="263">
        <f>0+18991.22+36609.47+14310.66+34026.72+25184.04+19978.62+17013.36+17013.36+(6233)-14447.79</f>
        <v>174912.66</v>
      </c>
      <c r="H185" s="280"/>
      <c r="I185" s="262">
        <f>6233-6233</f>
        <v>0</v>
      </c>
      <c r="J185" s="280">
        <f t="shared" si="48"/>
        <v>174912.66</v>
      </c>
      <c r="K185" s="280"/>
      <c r="L185" s="281">
        <f t="shared" si="41"/>
        <v>182587.34</v>
      </c>
    </row>
    <row r="186" spans="2:12" ht="13.5" customHeight="1">
      <c r="B186" s="277" t="s">
        <v>223</v>
      </c>
      <c r="C186" s="278"/>
      <c r="D186" s="324" t="s">
        <v>413</v>
      </c>
      <c r="E186" s="280"/>
      <c r="F186" s="263"/>
      <c r="G186" s="263"/>
      <c r="H186" s="288"/>
      <c r="I186" s="262"/>
      <c r="J186" s="280">
        <f t="shared" si="48"/>
        <v>0</v>
      </c>
      <c r="K186" s="280"/>
      <c r="L186" s="281">
        <f t="shared" si="41"/>
        <v>0</v>
      </c>
    </row>
    <row r="187" spans="2:12" ht="13.5" customHeight="1">
      <c r="B187" s="277" t="s">
        <v>225</v>
      </c>
      <c r="C187" s="278"/>
      <c r="D187" s="324" t="s">
        <v>414</v>
      </c>
      <c r="E187" s="280"/>
      <c r="F187" s="263"/>
      <c r="G187" s="367"/>
      <c r="H187" s="288"/>
      <c r="I187" s="262"/>
      <c r="J187" s="280">
        <f t="shared" si="48"/>
        <v>0</v>
      </c>
      <c r="K187" s="280"/>
      <c r="L187" s="281">
        <f t="shared" si="41"/>
        <v>0</v>
      </c>
    </row>
    <row r="188" spans="2:12" ht="13.5" customHeight="1">
      <c r="B188" s="277" t="s">
        <v>227</v>
      </c>
      <c r="C188" s="278"/>
      <c r="D188" s="324" t="s">
        <v>415</v>
      </c>
      <c r="E188" s="368"/>
      <c r="F188" s="263">
        <f>80000+4000-5000</f>
        <v>79000</v>
      </c>
      <c r="G188" s="286">
        <f>2684.4+(11382.18+1918.66)+4567.25+1983.73+4994.48+50300.32</f>
        <v>77831.01999999999</v>
      </c>
      <c r="H188" s="288"/>
      <c r="I188" s="262"/>
      <c r="J188" s="280">
        <f t="shared" si="48"/>
        <v>77831.01999999999</v>
      </c>
      <c r="K188" s="280"/>
      <c r="L188" s="281">
        <f t="shared" si="41"/>
        <v>1168.9800000000105</v>
      </c>
    </row>
    <row r="189" spans="2:12" ht="13.5" customHeight="1">
      <c r="B189" s="277" t="s">
        <v>231</v>
      </c>
      <c r="C189" s="278"/>
      <c r="D189" s="324" t="s">
        <v>416</v>
      </c>
      <c r="E189" s="262"/>
      <c r="F189" s="263">
        <f>30000+40000+100000-55000+110000</f>
        <v>225000</v>
      </c>
      <c r="G189" s="263">
        <f>0+(4785+715+5850)+(7470+4785+715+1210+280.5+1210+280.5+11919.59+1200+1200+13650)+(4785+715+1210+280.5)+(4785+715+1210+280.5+4785+715+1210+280.5+1200*3)+(9225+6990.5)+(6990.5+189)+6990.5+6990.5+1883+4586+26686-(9225)+25733.41</f>
        <v>166881.5</v>
      </c>
      <c r="H189" s="288"/>
      <c r="I189" s="262">
        <f>-2992-6233+2992+6233</f>
        <v>0</v>
      </c>
      <c r="J189" s="280">
        <f t="shared" si="48"/>
        <v>166881.5</v>
      </c>
      <c r="K189" s="280"/>
      <c r="L189" s="281">
        <f t="shared" si="41"/>
        <v>58118.5</v>
      </c>
    </row>
    <row r="190" spans="2:12" ht="13.5" customHeight="1">
      <c r="B190" s="277" t="s">
        <v>301</v>
      </c>
      <c r="C190" s="278"/>
      <c r="D190" s="324" t="s">
        <v>417</v>
      </c>
      <c r="E190" s="262"/>
      <c r="F190" s="263">
        <f>40000-5000</f>
        <v>35000</v>
      </c>
      <c r="G190" s="263">
        <f>1200+4500+940+940+43873</f>
        <v>51453</v>
      </c>
      <c r="H190" s="288"/>
      <c r="I190" s="262"/>
      <c r="J190" s="280">
        <f t="shared" si="48"/>
        <v>51453</v>
      </c>
      <c r="K190" s="280"/>
      <c r="L190" s="281">
        <f t="shared" si="41"/>
        <v>-16453</v>
      </c>
    </row>
    <row r="191" spans="2:12" ht="36" customHeight="1">
      <c r="B191" s="277" t="s">
        <v>418</v>
      </c>
      <c r="C191" s="278"/>
      <c r="D191" s="324" t="s">
        <v>419</v>
      </c>
      <c r="E191" s="262"/>
      <c r="F191" s="263">
        <f>45000+25300</f>
        <v>70300</v>
      </c>
      <c r="G191" s="263">
        <v>26340.57</v>
      </c>
      <c r="H191" s="262"/>
      <c r="I191" s="262"/>
      <c r="J191" s="280">
        <f t="shared" si="48"/>
        <v>26340.57</v>
      </c>
      <c r="K191" s="280"/>
      <c r="L191" s="281">
        <f t="shared" si="41"/>
        <v>43959.43</v>
      </c>
    </row>
    <row r="192" spans="2:12" ht="13.5" customHeight="1">
      <c r="B192" s="277" t="s">
        <v>303</v>
      </c>
      <c r="C192" s="278"/>
      <c r="D192" s="324" t="s">
        <v>420</v>
      </c>
      <c r="E192" s="262"/>
      <c r="F192" s="263">
        <f>40000+100000+50000+100000-5000-70000</f>
        <v>215000</v>
      </c>
      <c r="G192" s="263">
        <f>0+(99900+11250+2508)+5852+26250</f>
        <v>145760</v>
      </c>
      <c r="H192" s="262"/>
      <c r="I192" s="262"/>
      <c r="J192" s="280">
        <f t="shared" si="48"/>
        <v>145760</v>
      </c>
      <c r="K192" s="280"/>
      <c r="L192" s="281">
        <f t="shared" si="41"/>
        <v>69240</v>
      </c>
    </row>
    <row r="193" spans="2:12" ht="13.5" customHeight="1">
      <c r="B193" s="277" t="s">
        <v>278</v>
      </c>
      <c r="C193" s="278"/>
      <c r="D193" s="324" t="s">
        <v>421</v>
      </c>
      <c r="E193" s="262"/>
      <c r="F193" s="263">
        <f>50000-5300</f>
        <v>44700</v>
      </c>
      <c r="G193" s="263">
        <f>15605.65+5787.85+465</f>
        <v>21858.5</v>
      </c>
      <c r="H193" s="262"/>
      <c r="I193" s="262"/>
      <c r="J193" s="280">
        <f t="shared" si="48"/>
        <v>21858.5</v>
      </c>
      <c r="K193" s="280"/>
      <c r="L193" s="281">
        <f t="shared" si="41"/>
        <v>22841.5</v>
      </c>
    </row>
    <row r="194" spans="2:12" ht="22.5" customHeight="1">
      <c r="B194" s="282" t="s">
        <v>259</v>
      </c>
      <c r="C194" s="248"/>
      <c r="D194" s="289" t="s">
        <v>422</v>
      </c>
      <c r="E194" s="250"/>
      <c r="F194" s="284">
        <f>SUM(F196:F199)</f>
        <v>27150</v>
      </c>
      <c r="G194" s="284">
        <f>SUM(G196:G199)</f>
        <v>15226.81</v>
      </c>
      <c r="H194" s="284"/>
      <c r="I194" s="284"/>
      <c r="J194" s="284">
        <f t="shared" si="48"/>
        <v>15226.81</v>
      </c>
      <c r="K194" s="250"/>
      <c r="L194" s="251">
        <f t="shared" si="41"/>
        <v>11923.19</v>
      </c>
    </row>
    <row r="195" spans="2:12" ht="13.5" customHeight="1">
      <c r="B195" s="277"/>
      <c r="C195" s="278"/>
      <c r="D195" s="279" t="s">
        <v>247</v>
      </c>
      <c r="E195" s="280"/>
      <c r="F195" s="369"/>
      <c r="G195" s="369"/>
      <c r="H195" s="369"/>
      <c r="I195" s="369"/>
      <c r="J195" s="369"/>
      <c r="K195" s="280"/>
      <c r="L195" s="281"/>
    </row>
    <row r="196" spans="2:12" ht="13.5" customHeight="1">
      <c r="B196" s="277" t="s">
        <v>423</v>
      </c>
      <c r="C196" s="278"/>
      <c r="D196" s="324" t="s">
        <v>424</v>
      </c>
      <c r="E196" s="368"/>
      <c r="F196" s="263">
        <f aca="true" t="shared" si="49" ref="F196:F197">3000-1000</f>
        <v>2000</v>
      </c>
      <c r="G196" s="263">
        <v>2000</v>
      </c>
      <c r="H196" s="280"/>
      <c r="I196" s="262"/>
      <c r="J196" s="280">
        <f aca="true" t="shared" si="50" ref="J196:J200">G196</f>
        <v>2000</v>
      </c>
      <c r="K196" s="280"/>
      <c r="L196" s="281">
        <f aca="true" t="shared" si="51" ref="L196:L200">F196-J196</f>
        <v>0</v>
      </c>
    </row>
    <row r="197" spans="2:12" ht="13.5" customHeight="1">
      <c r="B197" s="277" t="s">
        <v>261</v>
      </c>
      <c r="C197" s="278"/>
      <c r="D197" s="324" t="s">
        <v>425</v>
      </c>
      <c r="E197" s="262"/>
      <c r="F197" s="263">
        <f t="shared" si="49"/>
        <v>2000</v>
      </c>
      <c r="G197" s="263">
        <f>1000+50</f>
        <v>1050</v>
      </c>
      <c r="H197" s="280"/>
      <c r="I197" s="262"/>
      <c r="J197" s="280">
        <f t="shared" si="50"/>
        <v>1050</v>
      </c>
      <c r="K197" s="280"/>
      <c r="L197" s="281">
        <f t="shared" si="51"/>
        <v>950</v>
      </c>
    </row>
    <row r="198" spans="2:12" ht="13.5" customHeight="1">
      <c r="B198" s="277" t="s">
        <v>264</v>
      </c>
      <c r="C198" s="278"/>
      <c r="D198" s="324" t="s">
        <v>426</v>
      </c>
      <c r="E198" s="262"/>
      <c r="F198" s="263">
        <f>1000+1500+5000+13000-2350</f>
        <v>18150</v>
      </c>
      <c r="G198" s="263">
        <f>1500+4000+200+4483.5+61.31</f>
        <v>10244.81</v>
      </c>
      <c r="H198" s="280"/>
      <c r="I198" s="262"/>
      <c r="J198" s="280">
        <f t="shared" si="50"/>
        <v>10244.81</v>
      </c>
      <c r="K198" s="280"/>
      <c r="L198" s="281">
        <f t="shared" si="51"/>
        <v>7905.1900000000005</v>
      </c>
    </row>
    <row r="199" spans="2:12" ht="13.5" customHeight="1">
      <c r="B199" s="300" t="s">
        <v>385</v>
      </c>
      <c r="C199" s="309"/>
      <c r="D199" s="370" t="s">
        <v>427</v>
      </c>
      <c r="E199" s="262"/>
      <c r="F199" s="335">
        <f>2000+3000</f>
        <v>5000</v>
      </c>
      <c r="G199" s="335">
        <f>466+507+489+470</f>
        <v>1932</v>
      </c>
      <c r="H199" s="312"/>
      <c r="I199" s="262"/>
      <c r="J199" s="312">
        <f t="shared" si="50"/>
        <v>1932</v>
      </c>
      <c r="K199" s="312"/>
      <c r="L199" s="313">
        <f t="shared" si="51"/>
        <v>3068</v>
      </c>
    </row>
    <row r="200" spans="2:12" ht="13.5" customHeight="1">
      <c r="B200" s="302" t="s">
        <v>428</v>
      </c>
      <c r="C200" s="303"/>
      <c r="D200" s="371" t="s">
        <v>429</v>
      </c>
      <c r="E200" s="305"/>
      <c r="F200" s="305">
        <f>F202+F203</f>
        <v>100000</v>
      </c>
      <c r="G200" s="305">
        <f>G202+G203</f>
        <v>14260</v>
      </c>
      <c r="H200" s="305"/>
      <c r="I200" s="305"/>
      <c r="J200" s="305">
        <f t="shared" si="50"/>
        <v>14260</v>
      </c>
      <c r="K200" s="305"/>
      <c r="L200" s="306">
        <f t="shared" si="51"/>
        <v>85740</v>
      </c>
    </row>
    <row r="201" spans="2:12" ht="11.25" customHeight="1">
      <c r="B201" s="372"/>
      <c r="C201" s="373"/>
      <c r="D201" s="293" t="s">
        <v>209</v>
      </c>
      <c r="E201" s="374"/>
      <c r="F201" s="374"/>
      <c r="G201" s="374"/>
      <c r="H201" s="374"/>
      <c r="I201" s="374"/>
      <c r="J201" s="374"/>
      <c r="K201" s="374"/>
      <c r="L201" s="297"/>
    </row>
    <row r="202" spans="2:12" ht="23.25" customHeight="1">
      <c r="B202" s="277" t="s">
        <v>303</v>
      </c>
      <c r="C202" s="309"/>
      <c r="D202" s="370" t="s">
        <v>430</v>
      </c>
      <c r="E202" s="311"/>
      <c r="F202" s="335">
        <v>14260</v>
      </c>
      <c r="G202" s="335">
        <v>14260</v>
      </c>
      <c r="H202" s="312"/>
      <c r="I202" s="262"/>
      <c r="J202" s="312">
        <f aca="true" t="shared" si="52" ref="J202:J206">G202</f>
        <v>14260</v>
      </c>
      <c r="K202" s="312"/>
      <c r="L202" s="313">
        <f aca="true" t="shared" si="53" ref="L202:L210">F202-J202</f>
        <v>0</v>
      </c>
    </row>
    <row r="203" spans="2:12" ht="23.25" customHeight="1">
      <c r="B203" s="277" t="s">
        <v>278</v>
      </c>
      <c r="C203" s="309"/>
      <c r="D203" s="370" t="s">
        <v>431</v>
      </c>
      <c r="E203" s="311"/>
      <c r="F203" s="335">
        <f>100000-14260</f>
        <v>85740</v>
      </c>
      <c r="G203" s="335"/>
      <c r="H203" s="312"/>
      <c r="I203" s="312"/>
      <c r="J203" s="312">
        <f t="shared" si="52"/>
        <v>0</v>
      </c>
      <c r="K203" s="312"/>
      <c r="L203" s="313">
        <f t="shared" si="53"/>
        <v>85740</v>
      </c>
    </row>
    <row r="204" spans="2:12" ht="13.5" customHeight="1">
      <c r="B204" s="375" t="s">
        <v>432</v>
      </c>
      <c r="C204" s="303"/>
      <c r="D204" s="304" t="s">
        <v>433</v>
      </c>
      <c r="E204" s="305"/>
      <c r="F204" s="316">
        <f aca="true" t="shared" si="54" ref="F204:F205">F205</f>
        <v>46000</v>
      </c>
      <c r="G204" s="316">
        <f aca="true" t="shared" si="55" ref="G204:G205">G205</f>
        <v>29950</v>
      </c>
      <c r="H204" s="305"/>
      <c r="I204" s="305"/>
      <c r="J204" s="316">
        <f t="shared" si="52"/>
        <v>29950</v>
      </c>
      <c r="K204" s="305"/>
      <c r="L204" s="340">
        <f t="shared" si="53"/>
        <v>16050</v>
      </c>
    </row>
    <row r="205" spans="2:12" ht="13.5" customHeight="1">
      <c r="B205" s="376" t="s">
        <v>213</v>
      </c>
      <c r="C205" s="243"/>
      <c r="D205" s="317" t="s">
        <v>434</v>
      </c>
      <c r="E205" s="245"/>
      <c r="F205" s="245">
        <f t="shared" si="54"/>
        <v>46000</v>
      </c>
      <c r="G205" s="245">
        <f t="shared" si="55"/>
        <v>29950</v>
      </c>
      <c r="H205" s="245"/>
      <c r="I205" s="245"/>
      <c r="J205" s="245">
        <f t="shared" si="52"/>
        <v>29950</v>
      </c>
      <c r="K205" s="245"/>
      <c r="L205" s="246">
        <f t="shared" si="53"/>
        <v>16050</v>
      </c>
    </row>
    <row r="206" spans="2:12" ht="13.5" customHeight="1">
      <c r="B206" s="377" t="s">
        <v>221</v>
      </c>
      <c r="C206" s="248"/>
      <c r="D206" s="318" t="s">
        <v>435</v>
      </c>
      <c r="E206" s="250"/>
      <c r="F206" s="250">
        <f>F210</f>
        <v>46000</v>
      </c>
      <c r="G206" s="250">
        <f>G210</f>
        <v>29950</v>
      </c>
      <c r="H206" s="250"/>
      <c r="I206" s="250"/>
      <c r="J206" s="250">
        <f t="shared" si="52"/>
        <v>29950</v>
      </c>
      <c r="K206" s="250"/>
      <c r="L206" s="251">
        <f t="shared" si="53"/>
        <v>16050</v>
      </c>
    </row>
    <row r="207" spans="2:12" ht="13.5" customHeight="1">
      <c r="B207" s="378"/>
      <c r="C207" s="307"/>
      <c r="D207" s="293" t="s">
        <v>209</v>
      </c>
      <c r="E207" s="295"/>
      <c r="F207" s="296"/>
      <c r="G207" s="296"/>
      <c r="H207" s="295"/>
      <c r="I207" s="295"/>
      <c r="J207" s="296"/>
      <c r="K207" s="295"/>
      <c r="L207" s="297">
        <f t="shared" si="53"/>
        <v>0</v>
      </c>
    </row>
    <row r="208" spans="2:12" ht="13.5" customHeight="1">
      <c r="B208" s="379" t="s">
        <v>436</v>
      </c>
      <c r="C208" s="339"/>
      <c r="D208" s="254" t="s">
        <v>437</v>
      </c>
      <c r="E208" s="275"/>
      <c r="F208" s="323">
        <f>F210</f>
        <v>46000</v>
      </c>
      <c r="G208" s="323">
        <f>G210</f>
        <v>29950</v>
      </c>
      <c r="H208" s="275"/>
      <c r="I208" s="275"/>
      <c r="J208" s="323">
        <f>G208</f>
        <v>29950</v>
      </c>
      <c r="K208" s="275"/>
      <c r="L208" s="380">
        <f t="shared" si="53"/>
        <v>16050</v>
      </c>
    </row>
    <row r="209" spans="2:12" ht="13.5" customHeight="1">
      <c r="B209" s="378"/>
      <c r="C209" s="307"/>
      <c r="D209" s="293" t="s">
        <v>209</v>
      </c>
      <c r="E209" s="295"/>
      <c r="F209" s="296"/>
      <c r="G209" s="296"/>
      <c r="H209" s="295"/>
      <c r="I209" s="295"/>
      <c r="J209" s="296"/>
      <c r="K209" s="295"/>
      <c r="L209" s="297">
        <f t="shared" si="53"/>
        <v>0</v>
      </c>
    </row>
    <row r="210" spans="2:12" ht="26.25" customHeight="1">
      <c r="B210" s="381" t="s">
        <v>438</v>
      </c>
      <c r="C210" s="266"/>
      <c r="D210" s="352" t="s">
        <v>439</v>
      </c>
      <c r="E210" s="382"/>
      <c r="F210" s="269">
        <v>46000</v>
      </c>
      <c r="G210" s="269">
        <f>10325+7375+12250</f>
        <v>29950</v>
      </c>
      <c r="H210" s="268"/>
      <c r="I210" s="268"/>
      <c r="J210" s="268">
        <f>G210</f>
        <v>29950</v>
      </c>
      <c r="K210" s="268"/>
      <c r="L210" s="270">
        <f t="shared" si="53"/>
        <v>16050</v>
      </c>
    </row>
    <row r="211" spans="2:12" ht="13.5" customHeight="1">
      <c r="B211" s="383"/>
      <c r="C211" s="384"/>
      <c r="D211" s="385"/>
      <c r="E211" s="386"/>
      <c r="F211" s="386"/>
      <c r="G211" s="387"/>
      <c r="H211" s="386"/>
      <c r="I211" s="386"/>
      <c r="J211" s="386"/>
      <c r="K211" s="386"/>
      <c r="L211" s="388"/>
    </row>
    <row r="212" spans="2:12" ht="27.75" customHeight="1">
      <c r="B212" s="389" t="s">
        <v>440</v>
      </c>
      <c r="C212" s="390" t="s">
        <v>441</v>
      </c>
      <c r="D212" s="390" t="s">
        <v>60</v>
      </c>
      <c r="E212" s="391" t="s">
        <v>60</v>
      </c>
      <c r="F212" s="391" t="s">
        <v>60</v>
      </c>
      <c r="G212" s="392">
        <f>доходы!E24-расходы!G11</f>
        <v>634853.0200000005</v>
      </c>
      <c r="H212" s="392"/>
      <c r="I212" s="392">
        <f>SUM(I11:I210)</f>
        <v>0</v>
      </c>
      <c r="J212" s="392">
        <f>доходы!H24-расходы!J11</f>
        <v>634853.0200000005</v>
      </c>
      <c r="K212" s="391" t="s">
        <v>60</v>
      </c>
      <c r="L212" s="393" t="s">
        <v>60</v>
      </c>
    </row>
    <row r="213" ht="13.5" customHeight="1"/>
  </sheetData>
  <sheetProtection selectLockedCells="1" selectUnlockedCells="1"/>
  <mergeCells count="2">
    <mergeCell ref="B5:B9"/>
    <mergeCell ref="G5:J6"/>
  </mergeCells>
  <printOptions/>
  <pageMargins left="0.2701388888888889" right="0.2798611111111111" top="0.5" bottom="0.5597222222222222" header="0.22013888888888888" footer="0.5118055555555555"/>
  <pageSetup horizontalDpi="300" verticalDpi="300" orientation="landscape" paperSize="9" scale="85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workbookViewId="0" topLeftCell="A1">
      <selection activeCell="F36" sqref="F36"/>
    </sheetView>
  </sheetViews>
  <sheetFormatPr defaultColWidth="8.00390625" defaultRowHeight="12.75"/>
  <cols>
    <col min="1" max="1" width="0.875" style="0" customWidth="1"/>
    <col min="2" max="2" width="47.00390625" style="1" customWidth="1"/>
    <col min="3" max="3" width="4.625" style="1" customWidth="1"/>
    <col min="4" max="4" width="25.625" style="1" customWidth="1"/>
    <col min="5" max="5" width="18.25390625" style="2" customWidth="1"/>
    <col min="6" max="6" width="14.125" style="2" customWidth="1"/>
    <col min="7" max="7" width="11.375" style="2" customWidth="1"/>
    <col min="8" max="8" width="12.125" style="2" customWidth="1"/>
    <col min="9" max="9" width="13.375" style="2" customWidth="1"/>
    <col min="10" max="10" width="14.125" style="0" customWidth="1"/>
    <col min="11" max="16384" width="9.00390625" style="0" customWidth="1"/>
  </cols>
  <sheetData>
    <row r="1" spans="2:10" ht="15.75" customHeight="1">
      <c r="B1" s="383"/>
      <c r="C1" s="394"/>
      <c r="D1" s="395"/>
      <c r="E1" s="396"/>
      <c r="F1" s="396"/>
      <c r="G1" s="396"/>
      <c r="H1" s="396"/>
      <c r="I1" s="396"/>
      <c r="J1" s="396"/>
    </row>
    <row r="2" spans="3:10" ht="14.25" customHeight="1">
      <c r="C2" s="397" t="s">
        <v>442</v>
      </c>
      <c r="D2" s="398"/>
      <c r="E2" s="399"/>
      <c r="F2" s="399"/>
      <c r="G2" s="399"/>
      <c r="H2" s="399"/>
      <c r="I2" s="400"/>
      <c r="J2" s="396"/>
    </row>
    <row r="3" spans="2:10" ht="13.5">
      <c r="B3" s="401"/>
      <c r="C3" s="402"/>
      <c r="D3" s="403"/>
      <c r="E3" s="400"/>
      <c r="F3" s="400"/>
      <c r="G3" s="400"/>
      <c r="H3" s="400"/>
      <c r="I3" s="400"/>
      <c r="J3" s="400"/>
    </row>
    <row r="4" spans="2:10" ht="12.75">
      <c r="B4" s="404"/>
      <c r="C4" s="405" t="s">
        <v>31</v>
      </c>
      <c r="D4" s="405" t="s">
        <v>443</v>
      </c>
      <c r="E4" s="406" t="s">
        <v>33</v>
      </c>
      <c r="F4" s="407" t="s">
        <v>34</v>
      </c>
      <c r="G4" s="407"/>
      <c r="H4" s="407"/>
      <c r="I4" s="407"/>
      <c r="J4" s="408" t="s">
        <v>35</v>
      </c>
    </row>
    <row r="5" spans="2:10" ht="12.75">
      <c r="B5" s="409"/>
      <c r="C5" s="410" t="s">
        <v>195</v>
      </c>
      <c r="D5" s="410" t="s">
        <v>444</v>
      </c>
      <c r="E5" s="329" t="s">
        <v>39</v>
      </c>
      <c r="F5" s="202" t="s">
        <v>41</v>
      </c>
      <c r="G5" s="203" t="s">
        <v>41</v>
      </c>
      <c r="H5" s="204" t="s">
        <v>200</v>
      </c>
      <c r="I5" s="204"/>
      <c r="J5" s="411" t="s">
        <v>44</v>
      </c>
    </row>
    <row r="6" spans="2:10" ht="12.75">
      <c r="B6" s="412" t="s">
        <v>36</v>
      </c>
      <c r="C6" s="410" t="s">
        <v>198</v>
      </c>
      <c r="D6" s="410" t="s">
        <v>38</v>
      </c>
      <c r="E6" s="329" t="s">
        <v>44</v>
      </c>
      <c r="F6" s="207" t="s">
        <v>46</v>
      </c>
      <c r="G6" s="208" t="s">
        <v>47</v>
      </c>
      <c r="H6" s="208" t="s">
        <v>51</v>
      </c>
      <c r="I6" s="208" t="s">
        <v>43</v>
      </c>
      <c r="J6" s="411"/>
    </row>
    <row r="7" spans="2:10" ht="13.5">
      <c r="B7" s="413"/>
      <c r="C7" s="414"/>
      <c r="D7" s="414" t="s">
        <v>45</v>
      </c>
      <c r="E7" s="415"/>
      <c r="F7" s="214" t="s">
        <v>49</v>
      </c>
      <c r="G7" s="215" t="s">
        <v>50</v>
      </c>
      <c r="H7" s="215"/>
      <c r="I7" s="215"/>
      <c r="J7" s="416"/>
    </row>
    <row r="8" spans="2:10" ht="12" customHeight="1">
      <c r="B8" s="217">
        <v>1</v>
      </c>
      <c r="C8" s="218">
        <v>2</v>
      </c>
      <c r="D8" s="218">
        <v>3</v>
      </c>
      <c r="E8" s="417" t="s">
        <v>52</v>
      </c>
      <c r="F8" s="417" t="s">
        <v>53</v>
      </c>
      <c r="G8" s="417" t="s">
        <v>54</v>
      </c>
      <c r="H8" s="417" t="s">
        <v>55</v>
      </c>
      <c r="I8" s="417" t="s">
        <v>56</v>
      </c>
      <c r="J8" s="418" t="s">
        <v>57</v>
      </c>
    </row>
    <row r="9" spans="2:10" ht="12" customHeight="1">
      <c r="B9" s="419" t="s">
        <v>445</v>
      </c>
      <c r="C9" s="420" t="s">
        <v>446</v>
      </c>
      <c r="D9" s="420"/>
      <c r="E9" s="421">
        <f>E16</f>
        <v>386564</v>
      </c>
      <c r="F9" s="421">
        <f>F33</f>
        <v>-634853.0199999986</v>
      </c>
      <c r="G9" s="421"/>
      <c r="H9" s="421"/>
      <c r="I9" s="421">
        <f>I33</f>
        <v>-634853.0199999986</v>
      </c>
      <c r="J9" s="422">
        <f>E9</f>
        <v>386564</v>
      </c>
    </row>
    <row r="10" spans="2:10" ht="12" customHeight="1">
      <c r="B10" s="423" t="s">
        <v>447</v>
      </c>
      <c r="C10" s="298"/>
      <c r="D10" s="298"/>
      <c r="E10" s="424"/>
      <c r="F10" s="424"/>
      <c r="G10" s="424"/>
      <c r="H10" s="424"/>
      <c r="I10" s="424"/>
      <c r="J10" s="425"/>
    </row>
    <row r="11" spans="2:10" ht="14.25" customHeight="1">
      <c r="B11" s="426" t="s">
        <v>448</v>
      </c>
      <c r="C11" s="427" t="s">
        <v>449</v>
      </c>
      <c r="D11" s="428"/>
      <c r="E11" s="429" t="s">
        <v>450</v>
      </c>
      <c r="F11" s="429" t="s">
        <v>450</v>
      </c>
      <c r="G11" s="429"/>
      <c r="H11" s="429"/>
      <c r="I11" s="429" t="s">
        <v>450</v>
      </c>
      <c r="J11" s="430" t="s">
        <v>450</v>
      </c>
    </row>
    <row r="12" spans="2:10" ht="9" customHeight="1">
      <c r="B12" s="423" t="s">
        <v>451</v>
      </c>
      <c r="C12" s="298"/>
      <c r="D12" s="431"/>
      <c r="E12" s="432"/>
      <c r="F12" s="432"/>
      <c r="G12" s="432"/>
      <c r="H12" s="432"/>
      <c r="I12" s="432"/>
      <c r="J12" s="433"/>
    </row>
    <row r="13" spans="2:10" ht="13.5" customHeight="1">
      <c r="B13" s="434" t="s">
        <v>452</v>
      </c>
      <c r="C13" s="435"/>
      <c r="D13" s="431"/>
      <c r="E13" s="432"/>
      <c r="F13" s="432"/>
      <c r="G13" s="432"/>
      <c r="H13" s="432"/>
      <c r="I13" s="432"/>
      <c r="J13" s="433"/>
    </row>
    <row r="14" spans="2:10" ht="13.5" customHeight="1">
      <c r="B14" s="426" t="s">
        <v>453</v>
      </c>
      <c r="C14" s="427" t="s">
        <v>454</v>
      </c>
      <c r="D14" s="428"/>
      <c r="E14" s="429" t="s">
        <v>450</v>
      </c>
      <c r="F14" s="429" t="s">
        <v>450</v>
      </c>
      <c r="G14" s="429"/>
      <c r="H14" s="429"/>
      <c r="I14" s="429" t="s">
        <v>450</v>
      </c>
      <c r="J14" s="430" t="s">
        <v>450</v>
      </c>
    </row>
    <row r="15" spans="2:10" ht="10.5" customHeight="1">
      <c r="B15" s="423" t="s">
        <v>451</v>
      </c>
      <c r="C15" s="298"/>
      <c r="D15" s="431"/>
      <c r="E15" s="424"/>
      <c r="F15" s="424"/>
      <c r="G15" s="424"/>
      <c r="H15" s="424"/>
      <c r="I15" s="424"/>
      <c r="J15" s="425"/>
    </row>
    <row r="16" spans="2:10" ht="15" customHeight="1">
      <c r="B16" s="436" t="s">
        <v>455</v>
      </c>
      <c r="C16" s="437" t="s">
        <v>456</v>
      </c>
      <c r="D16" s="438"/>
      <c r="E16" s="439">
        <f>E25+E17</f>
        <v>386564</v>
      </c>
      <c r="F16" s="440" t="s">
        <v>457</v>
      </c>
      <c r="G16" s="441"/>
      <c r="H16" s="441"/>
      <c r="I16" s="441"/>
      <c r="J16" s="442">
        <f>E16-I16</f>
        <v>386564</v>
      </c>
    </row>
    <row r="17" spans="2:10" ht="15" customHeight="1">
      <c r="B17" s="377" t="s">
        <v>458</v>
      </c>
      <c r="C17" s="443" t="s">
        <v>459</v>
      </c>
      <c r="D17" s="444"/>
      <c r="E17" s="445">
        <f>E19</f>
        <v>-10036336</v>
      </c>
      <c r="F17" s="446" t="s">
        <v>457</v>
      </c>
      <c r="G17" s="447"/>
      <c r="H17" s="447"/>
      <c r="I17" s="447"/>
      <c r="J17" s="448" t="s">
        <v>457</v>
      </c>
    </row>
    <row r="18" spans="2:10" ht="12.75" customHeight="1">
      <c r="B18" s="423" t="s">
        <v>460</v>
      </c>
      <c r="C18" s="298"/>
      <c r="D18" s="431"/>
      <c r="E18" s="449"/>
      <c r="F18" s="424"/>
      <c r="G18" s="424"/>
      <c r="H18" s="424"/>
      <c r="I18" s="424"/>
      <c r="J18" s="425"/>
    </row>
    <row r="19" spans="2:10" ht="26.25" customHeight="1">
      <c r="B19" s="423" t="s">
        <v>461</v>
      </c>
      <c r="C19" s="298"/>
      <c r="D19" s="450" t="s">
        <v>462</v>
      </c>
      <c r="E19" s="449">
        <f>E24</f>
        <v>-10036336</v>
      </c>
      <c r="F19" s="451" t="s">
        <v>457</v>
      </c>
      <c r="G19" s="451" t="s">
        <v>463</v>
      </c>
      <c r="H19" s="451" t="s">
        <v>463</v>
      </c>
      <c r="I19" s="451" t="s">
        <v>463</v>
      </c>
      <c r="J19" s="452" t="s">
        <v>457</v>
      </c>
    </row>
    <row r="20" spans="2:10" ht="23.25" customHeight="1" hidden="1">
      <c r="B20" s="423" t="s">
        <v>464</v>
      </c>
      <c r="C20" s="298"/>
      <c r="D20" s="450" t="s">
        <v>465</v>
      </c>
      <c r="E20" s="453"/>
      <c r="F20" s="451" t="s">
        <v>457</v>
      </c>
      <c r="G20" s="451" t="s">
        <v>463</v>
      </c>
      <c r="H20" s="451" t="s">
        <v>463</v>
      </c>
      <c r="I20" s="451" t="s">
        <v>463</v>
      </c>
      <c r="J20" s="452" t="s">
        <v>457</v>
      </c>
    </row>
    <row r="21" spans="2:10" ht="21.75" customHeight="1" hidden="1">
      <c r="B21" s="423" t="s">
        <v>466</v>
      </c>
      <c r="C21" s="298"/>
      <c r="D21" s="450" t="s">
        <v>467</v>
      </c>
      <c r="E21" s="453"/>
      <c r="F21" s="451" t="s">
        <v>457</v>
      </c>
      <c r="G21" s="451" t="s">
        <v>463</v>
      </c>
      <c r="H21" s="451" t="s">
        <v>463</v>
      </c>
      <c r="I21" s="451" t="s">
        <v>463</v>
      </c>
      <c r="J21" s="452" t="s">
        <v>457</v>
      </c>
    </row>
    <row r="22" spans="2:10" ht="21.75" customHeight="1" hidden="1">
      <c r="B22" s="423" t="s">
        <v>468</v>
      </c>
      <c r="C22" s="298"/>
      <c r="D22" s="450" t="s">
        <v>469</v>
      </c>
      <c r="E22" s="453"/>
      <c r="F22" s="451" t="s">
        <v>457</v>
      </c>
      <c r="G22" s="451" t="s">
        <v>463</v>
      </c>
      <c r="H22" s="451" t="s">
        <v>463</v>
      </c>
      <c r="I22" s="451" t="s">
        <v>463</v>
      </c>
      <c r="J22" s="452" t="s">
        <v>457</v>
      </c>
    </row>
    <row r="23" spans="2:10" ht="24.75" customHeight="1" hidden="1">
      <c r="B23" s="423" t="s">
        <v>470</v>
      </c>
      <c r="C23" s="298"/>
      <c r="D23" s="450" t="s">
        <v>471</v>
      </c>
      <c r="E23" s="453"/>
      <c r="F23" s="451" t="s">
        <v>457</v>
      </c>
      <c r="G23" s="451" t="s">
        <v>463</v>
      </c>
      <c r="H23" s="451" t="s">
        <v>463</v>
      </c>
      <c r="I23" s="451" t="s">
        <v>463</v>
      </c>
      <c r="J23" s="452" t="s">
        <v>457</v>
      </c>
    </row>
    <row r="24" spans="2:10" ht="24" customHeight="1">
      <c r="B24" s="423" t="s">
        <v>472</v>
      </c>
      <c r="C24" s="298"/>
      <c r="D24" s="450" t="s">
        <v>473</v>
      </c>
      <c r="E24" s="449">
        <f>-9353936-(673000+600+5000)-3800</f>
        <v>-10036336</v>
      </c>
      <c r="F24" s="451" t="s">
        <v>457</v>
      </c>
      <c r="G24" s="451" t="s">
        <v>463</v>
      </c>
      <c r="H24" s="451" t="s">
        <v>463</v>
      </c>
      <c r="I24" s="451" t="s">
        <v>463</v>
      </c>
      <c r="J24" s="452" t="s">
        <v>457</v>
      </c>
    </row>
    <row r="25" spans="2:10" ht="15" customHeight="1">
      <c r="B25" s="377" t="s">
        <v>474</v>
      </c>
      <c r="C25" s="443" t="s">
        <v>475</v>
      </c>
      <c r="D25" s="444"/>
      <c r="E25" s="445">
        <f>E27</f>
        <v>10422900</v>
      </c>
      <c r="F25" s="446" t="s">
        <v>457</v>
      </c>
      <c r="G25" s="447"/>
      <c r="H25" s="447"/>
      <c r="I25" s="447"/>
      <c r="J25" s="454" t="s">
        <v>457</v>
      </c>
    </row>
    <row r="26" spans="2:10" ht="15" customHeight="1">
      <c r="B26" s="423" t="s">
        <v>460</v>
      </c>
      <c r="C26" s="298"/>
      <c r="D26" s="431"/>
      <c r="E26" s="424"/>
      <c r="F26" s="424"/>
      <c r="G26" s="424"/>
      <c r="H26" s="424"/>
      <c r="I26" s="424"/>
      <c r="J26" s="425"/>
    </row>
    <row r="27" spans="2:10" ht="25.5" customHeight="1">
      <c r="B27" s="423" t="s">
        <v>461</v>
      </c>
      <c r="C27" s="298"/>
      <c r="D27" s="450" t="s">
        <v>462</v>
      </c>
      <c r="E27" s="453">
        <f aca="true" t="shared" si="0" ref="E27:E31">E28</f>
        <v>10422900</v>
      </c>
      <c r="F27" s="451" t="s">
        <v>457</v>
      </c>
      <c r="G27" s="451" t="s">
        <v>463</v>
      </c>
      <c r="H27" s="451" t="s">
        <v>463</v>
      </c>
      <c r="I27" s="451" t="s">
        <v>463</v>
      </c>
      <c r="J27" s="452" t="s">
        <v>457</v>
      </c>
    </row>
    <row r="28" spans="2:10" ht="22.5" customHeight="1" hidden="1">
      <c r="B28" s="423" t="s">
        <v>464</v>
      </c>
      <c r="C28" s="298"/>
      <c r="D28" s="450" t="s">
        <v>465</v>
      </c>
      <c r="E28" s="453">
        <f t="shared" si="0"/>
        <v>10422900</v>
      </c>
      <c r="F28" s="451" t="s">
        <v>457</v>
      </c>
      <c r="G28" s="451" t="s">
        <v>463</v>
      </c>
      <c r="H28" s="451" t="s">
        <v>463</v>
      </c>
      <c r="I28" s="451" t="s">
        <v>463</v>
      </c>
      <c r="J28" s="452" t="s">
        <v>457</v>
      </c>
    </row>
    <row r="29" spans="2:10" ht="15" customHeight="1" hidden="1">
      <c r="B29" s="423" t="s">
        <v>476</v>
      </c>
      <c r="C29" s="298"/>
      <c r="D29" s="450" t="s">
        <v>477</v>
      </c>
      <c r="E29" s="453">
        <f t="shared" si="0"/>
        <v>10422900</v>
      </c>
      <c r="F29" s="451" t="s">
        <v>457</v>
      </c>
      <c r="G29" s="451" t="s">
        <v>463</v>
      </c>
      <c r="H29" s="451" t="s">
        <v>463</v>
      </c>
      <c r="I29" s="451" t="s">
        <v>463</v>
      </c>
      <c r="J29" s="452" t="s">
        <v>457</v>
      </c>
    </row>
    <row r="30" spans="2:10" ht="15" customHeight="1" hidden="1">
      <c r="B30" s="423" t="s">
        <v>478</v>
      </c>
      <c r="C30" s="298"/>
      <c r="D30" s="450" t="s">
        <v>479</v>
      </c>
      <c r="E30" s="453">
        <f t="shared" si="0"/>
        <v>10422900</v>
      </c>
      <c r="F30" s="451" t="s">
        <v>457</v>
      </c>
      <c r="G30" s="451" t="s">
        <v>463</v>
      </c>
      <c r="H30" s="451" t="s">
        <v>463</v>
      </c>
      <c r="I30" s="451" t="s">
        <v>463</v>
      </c>
      <c r="J30" s="452" t="s">
        <v>457</v>
      </c>
    </row>
    <row r="31" spans="2:10" ht="24.75" customHeight="1" hidden="1">
      <c r="B31" s="423" t="s">
        <v>480</v>
      </c>
      <c r="C31" s="298"/>
      <c r="D31" s="450" t="s">
        <v>481</v>
      </c>
      <c r="E31" s="453">
        <f t="shared" si="0"/>
        <v>10422900</v>
      </c>
      <c r="F31" s="451" t="s">
        <v>457</v>
      </c>
      <c r="G31" s="451" t="s">
        <v>463</v>
      </c>
      <c r="H31" s="451" t="s">
        <v>463</v>
      </c>
      <c r="I31" s="451" t="s">
        <v>463</v>
      </c>
      <c r="J31" s="452" t="s">
        <v>457</v>
      </c>
    </row>
    <row r="32" spans="2:10" ht="24.75" customHeight="1">
      <c r="B32" s="423" t="s">
        <v>482</v>
      </c>
      <c r="C32" s="298"/>
      <c r="D32" s="450" t="s">
        <v>483</v>
      </c>
      <c r="E32" s="453">
        <f>9745500+673600+3800</f>
        <v>10422900</v>
      </c>
      <c r="F32" s="451" t="s">
        <v>457</v>
      </c>
      <c r="G32" s="451" t="s">
        <v>463</v>
      </c>
      <c r="H32" s="451" t="s">
        <v>463</v>
      </c>
      <c r="I32" s="451" t="s">
        <v>463</v>
      </c>
      <c r="J32" s="452" t="s">
        <v>457</v>
      </c>
    </row>
    <row r="33" spans="2:10" ht="15" customHeight="1">
      <c r="B33" s="436" t="s">
        <v>484</v>
      </c>
      <c r="C33" s="437" t="s">
        <v>485</v>
      </c>
      <c r="D33" s="438"/>
      <c r="E33" s="439">
        <f>E34+E37</f>
        <v>0</v>
      </c>
      <c r="F33" s="439">
        <f>F34+F37</f>
        <v>-634853.0199999986</v>
      </c>
      <c r="G33" s="439"/>
      <c r="H33" s="439"/>
      <c r="I33" s="439">
        <f>I34+I37</f>
        <v>-634853.0199999986</v>
      </c>
      <c r="J33" s="455" t="s">
        <v>60</v>
      </c>
    </row>
    <row r="34" spans="2:10" ht="23.25" customHeight="1">
      <c r="B34" s="377" t="s">
        <v>486</v>
      </c>
      <c r="C34" s="443" t="s">
        <v>487</v>
      </c>
      <c r="D34" s="444"/>
      <c r="E34" s="445">
        <f>E35-E36</f>
        <v>0</v>
      </c>
      <c r="F34" s="445">
        <f>F35+F36</f>
        <v>-634853.0199999986</v>
      </c>
      <c r="G34" s="445"/>
      <c r="H34" s="445"/>
      <c r="I34" s="445">
        <f>I35+I36</f>
        <v>-634853.0199999986</v>
      </c>
      <c r="J34" s="456" t="s">
        <v>60</v>
      </c>
    </row>
    <row r="35" spans="2:10" ht="22.5" customHeight="1">
      <c r="B35" s="423" t="s">
        <v>488</v>
      </c>
      <c r="C35" s="298" t="s">
        <v>489</v>
      </c>
      <c r="D35" s="431"/>
      <c r="E35" s="457"/>
      <c r="F35" s="457">
        <f>-(365363.25+78821.47+392272.07+991573.12+925348.56+228858.55+692671.2+1358745.63+365408.64+492485.75+895843.85+925305.42)</f>
        <v>-7712697.509999999</v>
      </c>
      <c r="G35" s="432"/>
      <c r="H35" s="432"/>
      <c r="I35" s="432">
        <f aca="true" t="shared" si="1" ref="I35:I36">F35+G35+H35</f>
        <v>-7712697.509999999</v>
      </c>
      <c r="J35" s="425" t="s">
        <v>60</v>
      </c>
    </row>
    <row r="36" spans="2:10" ht="21.75" customHeight="1">
      <c r="B36" s="423" t="s">
        <v>490</v>
      </c>
      <c r="C36" s="298" t="s">
        <v>491</v>
      </c>
      <c r="D36" s="431"/>
      <c r="E36" s="457"/>
      <c r="F36" s="432">
        <f>67300+466208.97+671365.63+367260+173209.83+693536.45+435430.18+855917.68+759376.51+263445.37+1231675.07+1093118.8</f>
        <v>7077844.49</v>
      </c>
      <c r="G36" s="432"/>
      <c r="H36" s="432"/>
      <c r="I36" s="432">
        <f t="shared" si="1"/>
        <v>7077844.49</v>
      </c>
      <c r="J36" s="425" t="s">
        <v>60</v>
      </c>
    </row>
    <row r="37" spans="2:10" ht="15" customHeight="1">
      <c r="B37" s="377" t="s">
        <v>492</v>
      </c>
      <c r="C37" s="443" t="s">
        <v>493</v>
      </c>
      <c r="D37" s="444"/>
      <c r="E37" s="445">
        <f>E38-E39</f>
        <v>0</v>
      </c>
      <c r="F37" s="445">
        <f>F38-F39</f>
        <v>0</v>
      </c>
      <c r="G37" s="445"/>
      <c r="H37" s="445"/>
      <c r="I37" s="445">
        <f>I38-I39</f>
        <v>0</v>
      </c>
      <c r="J37" s="456" t="s">
        <v>60</v>
      </c>
    </row>
    <row r="38" spans="2:10" ht="21.75" customHeight="1">
      <c r="B38" s="423" t="s">
        <v>494</v>
      </c>
      <c r="C38" s="298" t="s">
        <v>495</v>
      </c>
      <c r="D38" s="431"/>
      <c r="E38" s="432"/>
      <c r="F38" s="432">
        <v>0</v>
      </c>
      <c r="G38" s="432"/>
      <c r="H38" s="432"/>
      <c r="I38" s="432"/>
      <c r="J38" s="425"/>
    </row>
    <row r="39" spans="2:10" ht="23.25">
      <c r="B39" s="458" t="s">
        <v>496</v>
      </c>
      <c r="C39" s="459" t="s">
        <v>497</v>
      </c>
      <c r="D39" s="460"/>
      <c r="E39" s="461"/>
      <c r="F39" s="461">
        <v>0</v>
      </c>
      <c r="G39" s="461"/>
      <c r="H39" s="461"/>
      <c r="I39" s="461"/>
      <c r="J39" s="462"/>
    </row>
    <row r="40" spans="2:10" ht="12.75">
      <c r="B40" s="463"/>
      <c r="C40" s="463"/>
      <c r="D40" s="464"/>
      <c r="E40" s="395"/>
      <c r="F40" s="395"/>
      <c r="G40" s="395"/>
      <c r="H40" s="395"/>
      <c r="I40" s="395"/>
      <c r="J40" s="395"/>
    </row>
    <row r="41" spans="2:10" ht="12" customHeight="1">
      <c r="B41" s="463" t="s">
        <v>498</v>
      </c>
      <c r="C41" s="465" t="s">
        <v>499</v>
      </c>
      <c r="D41" s="465"/>
      <c r="E41" s="466"/>
      <c r="F41" s="466" t="s">
        <v>500</v>
      </c>
      <c r="G41" s="395"/>
      <c r="H41" s="395"/>
      <c r="I41" s="395"/>
      <c r="J41" s="395"/>
    </row>
    <row r="42" spans="2:10" ht="12" customHeight="1">
      <c r="B42" s="179" t="s">
        <v>501</v>
      </c>
      <c r="C42" s="467" t="s">
        <v>502</v>
      </c>
      <c r="D42" s="181"/>
      <c r="E42" s="468"/>
      <c r="F42" s="468" t="s">
        <v>503</v>
      </c>
      <c r="G42" s="468"/>
      <c r="H42" s="468"/>
      <c r="I42" s="469" t="s">
        <v>504</v>
      </c>
      <c r="J42" s="468"/>
    </row>
    <row r="43" spans="2:10" ht="9.75" customHeight="1">
      <c r="B43" s="470"/>
      <c r="C43" s="470"/>
      <c r="D43" s="470"/>
      <c r="E43" s="468"/>
      <c r="F43" s="468"/>
      <c r="G43" s="471" t="s">
        <v>505</v>
      </c>
      <c r="I43" s="468"/>
      <c r="J43" s="468"/>
    </row>
    <row r="44" spans="2:10" ht="13.5" customHeight="1">
      <c r="B44" s="472" t="s">
        <v>506</v>
      </c>
      <c r="C44" s="473" t="s">
        <v>507</v>
      </c>
      <c r="D44" s="473"/>
      <c r="E44" s="468"/>
      <c r="F44" s="468"/>
      <c r="G44" s="468"/>
      <c r="H44" s="468"/>
      <c r="I44" s="468"/>
      <c r="J44" s="468"/>
    </row>
    <row r="45" spans="2:10" ht="10.5" customHeight="1">
      <c r="B45" s="179" t="s">
        <v>508</v>
      </c>
      <c r="C45" s="179" t="s">
        <v>502</v>
      </c>
      <c r="D45" s="181"/>
      <c r="E45" s="474"/>
      <c r="F45" s="474"/>
      <c r="G45" s="474"/>
      <c r="H45" s="474"/>
      <c r="I45" s="474"/>
      <c r="J45" s="468"/>
    </row>
    <row r="46" spans="2:10" ht="18" customHeight="1">
      <c r="B46" s="398"/>
      <c r="C46" s="398"/>
      <c r="D46" s="475"/>
      <c r="E46" s="468"/>
      <c r="G46" s="468"/>
      <c r="H46" s="468"/>
      <c r="I46" s="468"/>
      <c r="J46" s="476" t="s">
        <v>509</v>
      </c>
    </row>
    <row r="47" spans="2:10" ht="9.75" customHeight="1">
      <c r="B47" s="179" t="s">
        <v>510</v>
      </c>
      <c r="E47" s="477"/>
      <c r="F47" s="468"/>
      <c r="G47" s="468"/>
      <c r="H47" s="468"/>
      <c r="I47" s="468"/>
      <c r="J47" s="478" t="s">
        <v>511</v>
      </c>
    </row>
    <row r="48" spans="2:10" ht="9.75" customHeight="1">
      <c r="B48" s="470"/>
      <c r="E48" s="477"/>
      <c r="F48" s="468"/>
      <c r="G48" s="478"/>
      <c r="H48" s="478" t="s">
        <v>512</v>
      </c>
      <c r="I48" s="468"/>
      <c r="J48" s="478"/>
    </row>
    <row r="49" spans="2:10" ht="12.75">
      <c r="B49" s="471" t="s">
        <v>513</v>
      </c>
      <c r="C49" s="471"/>
      <c r="D49" s="479"/>
      <c r="E49" s="480"/>
      <c r="F49" s="481"/>
      <c r="G49" s="481"/>
      <c r="H49" s="481"/>
      <c r="I49" s="481"/>
      <c r="J49" s="482"/>
    </row>
  </sheetData>
  <sheetProtection selectLockedCells="1" selectUnlockedCells="1"/>
  <mergeCells count="2">
    <mergeCell ref="F4:I4"/>
    <mergeCell ref="C41:D41"/>
  </mergeCells>
  <printOptions gridLines="1"/>
  <pageMargins left="0.39375" right="0.39375" top="0.5597222222222222" bottom="0.39375" header="0" footer="0.5118055555555555"/>
  <pageSetup horizontalDpi="300" verticalDpi="300" orientation="landscape" pageOrder="overThenDown" paperSize="9" scale="83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GlavBuh</cp:lastModifiedBy>
  <cp:lastPrinted>2018-08-03T10:11:43Z</cp:lastPrinted>
  <dcterms:created xsi:type="dcterms:W3CDTF">1999-06-18T11:49:53Z</dcterms:created>
  <dcterms:modified xsi:type="dcterms:W3CDTF">2019-01-11T04:44:13Z</dcterms:modified>
  <cp:category/>
  <cp:version/>
  <cp:contentType/>
  <cp:contentStatus/>
</cp:coreProperties>
</file>